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showInkAnnotation="0" codeName="ThisWorkbook" defaultThemeVersion="124226"/>
  <mc:AlternateContent xmlns:mc="http://schemas.openxmlformats.org/markup-compatibility/2006">
    <mc:Choice Requires="x15">
      <x15ac:absPath xmlns:x15ac="http://schemas.microsoft.com/office/spreadsheetml/2010/11/ac" url="P:\01_Kundar\SB-Produksjon\1.0 IC\2.0 TSS_RVK\2.5 Rekneark inkl jordskjelv (Olav Olsen)\"/>
    </mc:Choice>
  </mc:AlternateContent>
  <xr:revisionPtr revIDLastSave="0" documentId="13_ncr:1_{90B41F94-0999-4F5C-A427-BFAF54882EFA}" xr6:coauthVersionLast="46" xr6:coauthVersionMax="46" xr10:uidLastSave="{00000000-0000-0000-0000-000000000000}"/>
  <bookViews>
    <workbookView xWindow="-120" yWindow="-120" windowWidth="38640" windowHeight="21240" xr2:uid="{0E29BCE3-AD0E-4DCD-AD80-382414480286}"/>
  </bookViews>
  <sheets>
    <sheet name="Main sheet" sheetId="5" r:id="rId1"/>
    <sheet name="Revision history" sheetId="7" r:id="rId2"/>
    <sheet name="Chart data" sheetId="6" state="hidden" r:id="rId3"/>
  </sheets>
  <definedNames>
    <definedName name="A">'Main sheet'!$F$12</definedName>
    <definedName name="Ab">'Main sheet'!$F$284</definedName>
    <definedName name="ad">'Main sheet'!$J$37</definedName>
    <definedName name="astjerne">'Main sheet'!$F$290</definedName>
    <definedName name="Av.y">'Main sheet'!$F$322</definedName>
    <definedName name="Av.z">'Main sheet'!$F$314</definedName>
    <definedName name="ax">'Main sheet'!#REF!</definedName>
    <definedName name="ay">'Main sheet'!$J$33</definedName>
    <definedName name="B">'Main sheet'!$F$13</definedName>
    <definedName name="bstjerne">'Main sheet'!$F$291</definedName>
    <definedName name="Ce">'Main sheet'!$F$14</definedName>
    <definedName name="ConcreteDensity">'Main sheet'!$J$12</definedName>
    <definedName name="D">'Main sheet'!$F$15</definedName>
    <definedName name="Def">'Main sheet'!$D$82</definedName>
    <definedName name="DLfactorALS">'Main sheet'!$J$35</definedName>
    <definedName name="DLfactorULS">'Main sheet'!$J$29</definedName>
    <definedName name="E">'Main sheet'!$F$16</definedName>
    <definedName name="ecantilever">'Main sheet'!$F$292</definedName>
    <definedName name="F">'Main sheet'!$F$17</definedName>
    <definedName name="Fax">'Main sheet'!$F$113</definedName>
    <definedName name="Fay">'Main sheet'!$F$145</definedName>
    <definedName name="FFront.ALS.Flight">'Main sheet'!$F$239</definedName>
    <definedName name="FFront.ALS.Landing">'Main sheet'!$F$250</definedName>
    <definedName name="FFront.ULS.Flight">'Main sheet'!$J$239</definedName>
    <definedName name="FFront.ULS.Landing">'Main sheet'!$J$250</definedName>
    <definedName name="Fha.Front">'Main sheet'!$I$273</definedName>
    <definedName name="FHEd">'Main sheet'!$F$296</definedName>
    <definedName name="FinishesFlight">'Main sheet'!$J$19</definedName>
    <definedName name="FinishesLanding">'Main sheet'!$J$18</definedName>
    <definedName name="FRear.ALS.Flight">'Main sheet'!$F$240</definedName>
    <definedName name="FRear.ALS.Landing">'Main sheet'!$F$251</definedName>
    <definedName name="FRear.ULS.Flight">'Main sheet'!$J$240</definedName>
    <definedName name="FRear.ULS.Landing">'Main sheet'!$J$251</definedName>
    <definedName name="Fva.Front">'Main sheet'!$I$274</definedName>
    <definedName name="FvEd">'Main sheet'!$F$295</definedName>
    <definedName name="Fx">'Main sheet'!$F$183</definedName>
    <definedName name="FxFax">'Main sheet'!$F$115</definedName>
    <definedName name="FxFay">'Main sheet'!$F$147</definedName>
    <definedName name="FxFx">'Main sheet'!$F$186</definedName>
    <definedName name="FxFy">'Main sheet'!$F$187</definedName>
    <definedName name="Fy">'Main sheet'!$F$184</definedName>
    <definedName name="fy.red.y">'Main sheet'!$F$327</definedName>
    <definedName name="fy.red.z">'Main sheet'!$F$319</definedName>
    <definedName name="FyFax">'Main sheet'!$F$116</definedName>
    <definedName name="FyFay">'Main sheet'!$F$148</definedName>
    <definedName name="FyFx">'Main sheet'!$F$188</definedName>
    <definedName name="FyFy">'Main sheet'!$F$189</definedName>
    <definedName name="fyield">'Main sheet'!$F$279</definedName>
    <definedName name="FzFax">'Main sheet'!$F$117</definedName>
    <definedName name="FzFay">'Main sheet'!$F$149</definedName>
    <definedName name="FzFx">'Main sheet'!$F$190</definedName>
    <definedName name="FzFy">'Main sheet'!$F$191</definedName>
    <definedName name="Fzgravity">'Main sheet'!$F$118</definedName>
    <definedName name="G">'Main sheet'!$F$18</definedName>
    <definedName name="GammaM0">'Main sheet'!$F$281</definedName>
    <definedName name="gv">'Main sheet'!$J$25</definedName>
    <definedName name="H">'Main sheet'!$F$19</definedName>
    <definedName name="hb">'Main sheet'!$F$288</definedName>
    <definedName name="heff.y">'Main sheet'!$F$325</definedName>
    <definedName name="heff.z">'Main sheet'!$F$317</definedName>
    <definedName name="Htot">'Main sheet'!$F$21</definedName>
    <definedName name="I">'Main sheet'!$F$26</definedName>
    <definedName name="J">'Main sheet'!$F$27</definedName>
    <definedName name="jstjerne">'Main sheet'!$F$293</definedName>
    <definedName name="K">'Main sheet'!$F$33</definedName>
    <definedName name="LiveloadFlight">'Main sheet'!$J$23</definedName>
    <definedName name="LiveloadLanding">'Main sheet'!$J$22</definedName>
    <definedName name="LLfactorALS">'Main sheet'!$J$36</definedName>
    <definedName name="LLfactorULS">'Main sheet'!$J$30</definedName>
    <definedName name="Lm">'Main sheet'!#REF!</definedName>
    <definedName name="MEd.y">'Main sheet'!$F$306</definedName>
    <definedName name="MEd.z">'Main sheet'!$F$310</definedName>
    <definedName name="MPl.Rd.Red.y">'Main sheet'!$F$331</definedName>
    <definedName name="MPl.Rd.Red.z">'Main sheet'!$F$335</definedName>
    <definedName name="MPl.Rd.y">'Main sheet'!$F$316</definedName>
    <definedName name="Mpl.Rd.z">'Main sheet'!$F$324</definedName>
    <definedName name="QTot.All.Inserts.Landing.ALS">'Main sheet'!$I$272</definedName>
    <definedName name="QTot.Flight.Deadload">'Main sheet'!$D$88</definedName>
    <definedName name="QTot.Flight.Liveload">'Main sheet'!$D$92</definedName>
    <definedName name="QTot.Flights.ALS">'Main sheet'!$F$224</definedName>
    <definedName name="QTot.Flights.ULS">'Main sheet'!$K$224</definedName>
    <definedName name="QTot.Landing.ALS">'Main sheet'!$F$107</definedName>
    <definedName name="QTot.Landing.Deadload">'Main sheet'!$D$101</definedName>
    <definedName name="QTot.Landing.Liveload">'Main sheet'!$D$105</definedName>
    <definedName name="QTot.Landing.ULS">'Main sheet'!$J$107</definedName>
    <definedName name="QTot.One.Flight.ALS">'Main sheet'!$F$94</definedName>
    <definedName name="QTot.One.Flight.ULS">'Main sheet'!$J$94</definedName>
    <definedName name="QTot.Stair">'Main sheet'!$F$94</definedName>
    <definedName name="R.1Horizontal">'Main sheet'!$F$300</definedName>
    <definedName name="R.1Vertical">'Main sheet'!$F$298</definedName>
    <definedName name="R.2Horizontal">'Main sheet'!$F$301</definedName>
    <definedName name="R.2Vertical">'Main sheet'!$F$299</definedName>
    <definedName name="Rmax.ALS">'Main sheet'!$F$238</definedName>
    <definedName name="Rmax.ULS">'Main sheet'!$K$238</definedName>
    <definedName name="tb">'Main sheet'!$F$289</definedName>
    <definedName name="TreadNo">'Main sheet'!$F$20</definedName>
    <definedName name="_xlnm.Print_Area" localSheetId="0">'Main sheet'!$B$1:$L$342</definedName>
    <definedName name="_xlnm.Print_Titles" localSheetId="0">'Main sheet'!$2:$6</definedName>
    <definedName name="VEd.y">'Main sheet'!$F$309</definedName>
    <definedName name="VEd.z">'Main sheet'!$F$305</definedName>
    <definedName name="VEd1z.ax">'Main sheet'!$D$126</definedName>
    <definedName name="VEd1z.ay">'Main sheet'!$D$160</definedName>
    <definedName name="VEd2z.ax">'Main sheet'!$D$130</definedName>
    <definedName name="VEd2z.ay">'Main sheet'!$D$164</definedName>
    <definedName name="VEd3z.ax">'Main sheet'!$G$137</definedName>
    <definedName name="VEd3z.ay">'Main sheet'!$G$171</definedName>
    <definedName name="VEd4z.ax">'Main sheet'!$G$141</definedName>
    <definedName name="VEd4z.ay">'Main sheet'!$G$175</definedName>
    <definedName name="VPl.Rd.y">'Main sheet'!$F$323</definedName>
    <definedName name="VPl.Rd.z">'Main sheet'!$F$315</definedName>
    <definedName name="wb">'Main sheet'!$F$287</definedName>
    <definedName name="Wpl.y">'Main sheet'!$F$313</definedName>
    <definedName name="WPl.z">'Main sheet'!$F$321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54" i="5" l="1"/>
  <c r="I254" i="5"/>
  <c r="H257" i="5"/>
  <c r="I257" i="5" s="1"/>
  <c r="B257" i="5" l="1"/>
  <c r="C257" i="5" s="1"/>
  <c r="F21" i="5" l="1"/>
  <c r="B246" i="5" l="1"/>
  <c r="C246" i="5" s="1"/>
  <c r="H246" i="5"/>
  <c r="E246" i="5" l="1"/>
  <c r="D82" i="5"/>
  <c r="F181" i="5" l="1"/>
  <c r="D104" i="5"/>
  <c r="D91" i="5"/>
  <c r="F324" i="5" l="1"/>
  <c r="F322" i="5"/>
  <c r="F325" i="5" s="1"/>
  <c r="F316" i="5"/>
  <c r="F314" i="5"/>
  <c r="F317" i="5" s="1"/>
  <c r="F315" i="5" l="1"/>
  <c r="F323" i="5"/>
  <c r="H263" i="5" l="1"/>
  <c r="I105" i="5"/>
  <c r="I101" i="5"/>
  <c r="E101" i="5"/>
  <c r="K246" i="5"/>
  <c r="I92" i="5"/>
  <c r="I88" i="5"/>
  <c r="E88" i="5"/>
  <c r="E105" i="5"/>
  <c r="E92" i="5"/>
  <c r="I246" i="5" l="1"/>
  <c r="F188" i="5"/>
  <c r="G197" i="5"/>
  <c r="G198" i="5"/>
  <c r="G201" i="5"/>
  <c r="G202" i="5"/>
  <c r="G170" i="5"/>
  <c r="G169" i="5"/>
  <c r="G174" i="5"/>
  <c r="G173" i="5"/>
  <c r="F116" i="5"/>
  <c r="D129" i="5" l="1"/>
  <c r="D140" i="5"/>
  <c r="D136" i="5"/>
  <c r="D125" i="5"/>
  <c r="I64" i="5" s="1"/>
  <c r="G163" i="5"/>
  <c r="G162" i="5"/>
  <c r="G159" i="5"/>
  <c r="G158" i="5"/>
  <c r="G140" i="5"/>
  <c r="G139" i="5"/>
  <c r="G136" i="5"/>
  <c r="G135" i="5"/>
  <c r="G129" i="5"/>
  <c r="G128" i="5"/>
  <c r="G125" i="5"/>
  <c r="G124" i="5"/>
  <c r="I67" i="5" l="1"/>
  <c r="L142" i="6"/>
  <c r="L141" i="6"/>
  <c r="L134" i="6"/>
  <c r="L133" i="6"/>
  <c r="M125" i="6"/>
  <c r="L125" i="6"/>
  <c r="L124" i="6"/>
  <c r="M122" i="6"/>
  <c r="L122" i="6"/>
  <c r="L123" i="6" s="1"/>
  <c r="M118" i="6"/>
  <c r="M117" i="6"/>
  <c r="M116" i="6"/>
  <c r="M115" i="6"/>
  <c r="M114" i="6"/>
  <c r="M113" i="6"/>
  <c r="M112" i="6"/>
  <c r="M111" i="6"/>
  <c r="M110" i="6"/>
  <c r="M109" i="6"/>
  <c r="M107" i="6"/>
  <c r="M106" i="6"/>
  <c r="M105" i="6"/>
  <c r="M104" i="6"/>
  <c r="P103" i="6"/>
  <c r="M103" i="6"/>
  <c r="P102" i="6"/>
  <c r="M102" i="6"/>
  <c r="P101" i="6"/>
  <c r="M101" i="6"/>
  <c r="L101" i="6"/>
  <c r="L103" i="6" s="1"/>
  <c r="L105" i="6" s="1"/>
  <c r="L107" i="6" s="1"/>
  <c r="L110" i="6" s="1"/>
  <c r="L112" i="6" s="1"/>
  <c r="L114" i="6" s="1"/>
  <c r="L116" i="6" s="1"/>
  <c r="L118" i="6" s="1"/>
  <c r="P100" i="6"/>
  <c r="M100" i="6"/>
  <c r="L100" i="6"/>
  <c r="L102" i="6" s="1"/>
  <c r="L104" i="6" s="1"/>
  <c r="L106" i="6" s="1"/>
  <c r="L109" i="6" s="1"/>
  <c r="L111" i="6" s="1"/>
  <c r="L113" i="6" s="1"/>
  <c r="L115" i="6" s="1"/>
  <c r="L117" i="6" s="1"/>
  <c r="P99" i="6"/>
  <c r="M99" i="6"/>
  <c r="M98" i="6"/>
  <c r="M97" i="6"/>
  <c r="P96" i="6"/>
  <c r="M96" i="6"/>
  <c r="P95" i="6"/>
  <c r="M95" i="6"/>
  <c r="W94" i="6"/>
  <c r="W96" i="6" s="1"/>
  <c r="W98" i="6" s="1"/>
  <c r="W100" i="6" s="1"/>
  <c r="W102" i="6" s="1"/>
  <c r="W104" i="6" s="1"/>
  <c r="W106" i="6" s="1"/>
  <c r="W109" i="6" s="1"/>
  <c r="W111" i="6" s="1"/>
  <c r="P94" i="6"/>
  <c r="M94" i="6"/>
  <c r="L94" i="6"/>
  <c r="W93" i="6"/>
  <c r="W95" i="6" s="1"/>
  <c r="W97" i="6" s="1"/>
  <c r="W99" i="6" s="1"/>
  <c r="W101" i="6" s="1"/>
  <c r="W103" i="6" s="1"/>
  <c r="W105" i="6" s="1"/>
  <c r="W107" i="6" s="1"/>
  <c r="W110" i="6" s="1"/>
  <c r="P93" i="6"/>
  <c r="M93" i="6"/>
  <c r="S70" i="6" s="1"/>
  <c r="P92" i="6"/>
  <c r="M92" i="6"/>
  <c r="P89" i="6"/>
  <c r="P88" i="6"/>
  <c r="P87" i="6"/>
  <c r="P86" i="6"/>
  <c r="P85" i="6"/>
  <c r="P83" i="6"/>
  <c r="P82" i="6"/>
  <c r="P81" i="6"/>
  <c r="P80" i="6"/>
  <c r="P79" i="6"/>
  <c r="W77" i="6"/>
  <c r="R77" i="6"/>
  <c r="R76" i="6"/>
  <c r="R70" i="6"/>
  <c r="S69" i="6"/>
  <c r="R69" i="6"/>
  <c r="L69" i="6"/>
  <c r="L71" i="6" s="1"/>
  <c r="L73" i="6" s="1"/>
  <c r="L75" i="6" s="1"/>
  <c r="L77" i="6" s="1"/>
  <c r="L79" i="6" s="1"/>
  <c r="L81" i="6" s="1"/>
  <c r="L83" i="6" s="1"/>
  <c r="L85" i="6" s="1"/>
  <c r="M68" i="6"/>
  <c r="M70" i="6" s="1"/>
  <c r="M72" i="6" s="1"/>
  <c r="M74" i="6" s="1"/>
  <c r="M76" i="6" s="1"/>
  <c r="M78" i="6" s="1"/>
  <c r="M80" i="6" s="1"/>
  <c r="M82" i="6" s="1"/>
  <c r="M84" i="6" s="1"/>
  <c r="M86" i="6" s="1"/>
  <c r="L68" i="6"/>
  <c r="L70" i="6" s="1"/>
  <c r="L72" i="6" s="1"/>
  <c r="L74" i="6" s="1"/>
  <c r="L76" i="6" s="1"/>
  <c r="L78" i="6" s="1"/>
  <c r="L80" i="6" s="1"/>
  <c r="L82" i="6" s="1"/>
  <c r="L84" i="6" s="1"/>
  <c r="W67" i="6"/>
  <c r="W68" i="6" s="1"/>
  <c r="W69" i="6" s="1"/>
  <c r="W70" i="6" s="1"/>
  <c r="W71" i="6" s="1"/>
  <c r="W72" i="6" s="1"/>
  <c r="W73" i="6" s="1"/>
  <c r="W74" i="6" s="1"/>
  <c r="W75" i="6" s="1"/>
  <c r="W78" i="6" s="1"/>
  <c r="W79" i="6" s="1"/>
  <c r="W80" i="6" s="1"/>
  <c r="W81" i="6" s="1"/>
  <c r="W82" i="6" s="1"/>
  <c r="W83" i="6" s="1"/>
  <c r="W84" i="6" s="1"/>
  <c r="W85" i="6" s="1"/>
  <c r="W86" i="6" s="1"/>
  <c r="W87" i="6" s="1"/>
  <c r="M67" i="6"/>
  <c r="M69" i="6" s="1"/>
  <c r="M71" i="6" s="1"/>
  <c r="M73" i="6" s="1"/>
  <c r="M75" i="6" s="1"/>
  <c r="M77" i="6" s="1"/>
  <c r="M79" i="6" s="1"/>
  <c r="M81" i="6" s="1"/>
  <c r="M83" i="6" s="1"/>
  <c r="M85" i="6" s="1"/>
  <c r="M87" i="6" s="1"/>
  <c r="R66" i="6"/>
  <c r="R65" i="6"/>
  <c r="S76" i="6" l="1"/>
  <c r="S77" i="6" s="1"/>
  <c r="S65" i="6"/>
  <c r="M88" i="6"/>
  <c r="M123" i="6" l="1"/>
  <c r="M124" i="6" s="1"/>
  <c r="S66" i="6"/>
  <c r="D100" i="5" l="1"/>
  <c r="D99" i="5"/>
  <c r="D101" i="5" l="1"/>
  <c r="D105" i="5"/>
  <c r="D87" i="5"/>
  <c r="D81" i="5"/>
  <c r="D85" i="5" s="1"/>
  <c r="D92" i="5"/>
  <c r="D86" i="5"/>
  <c r="J105" i="5" l="1"/>
  <c r="F105" i="5"/>
  <c r="F92" i="5"/>
  <c r="J92" i="5"/>
  <c r="F101" i="5"/>
  <c r="J101" i="5"/>
  <c r="D88" i="5"/>
  <c r="J88" i="5" l="1"/>
  <c r="I94" i="5" s="1"/>
  <c r="F88" i="5"/>
  <c r="E94" i="5" s="1"/>
  <c r="I107" i="5"/>
  <c r="E107" i="5"/>
  <c r="J107" i="5"/>
  <c r="F107" i="5"/>
  <c r="F250" i="5" s="1"/>
  <c r="C252" i="5" l="1"/>
  <c r="E250" i="5"/>
  <c r="I250" i="5"/>
  <c r="I252" i="5"/>
  <c r="J250" i="5"/>
  <c r="F94" i="5"/>
  <c r="F224" i="5" s="1"/>
  <c r="J94" i="5"/>
  <c r="J259" i="5" l="1"/>
  <c r="J251" i="5"/>
  <c r="I251" i="5"/>
  <c r="I272" i="5"/>
  <c r="F272" i="5"/>
  <c r="J56" i="5"/>
  <c r="K224" i="5"/>
  <c r="K238" i="5" s="1"/>
  <c r="J224" i="5"/>
  <c r="E224" i="5"/>
  <c r="D269" i="5"/>
  <c r="F145" i="5"/>
  <c r="F118" i="5"/>
  <c r="F150" i="5"/>
  <c r="F192" i="5"/>
  <c r="F113" i="5"/>
  <c r="F117" i="5" s="1"/>
  <c r="F179" i="5"/>
  <c r="B120" i="5" l="1"/>
  <c r="G69" i="5" s="1"/>
  <c r="I266" i="5"/>
  <c r="H266" i="5"/>
  <c r="H259" i="5"/>
  <c r="H262" i="5"/>
  <c r="I262" i="5"/>
  <c r="K242" i="5"/>
  <c r="J239" i="5"/>
  <c r="I268" i="5" s="1"/>
  <c r="I239" i="5"/>
  <c r="I273" i="5"/>
  <c r="D61" i="5" s="1"/>
  <c r="F273" i="5"/>
  <c r="F149" i="5"/>
  <c r="G175" i="5"/>
  <c r="F148" i="5"/>
  <c r="D163" i="5" s="1"/>
  <c r="G141" i="5"/>
  <c r="G164" i="5"/>
  <c r="D130" i="5"/>
  <c r="G171" i="5"/>
  <c r="G137" i="5"/>
  <c r="G126" i="5"/>
  <c r="D126" i="5"/>
  <c r="F147" i="5"/>
  <c r="D169" i="5" s="1"/>
  <c r="D141" i="5"/>
  <c r="G160" i="5"/>
  <c r="G130" i="5"/>
  <c r="D137" i="5"/>
  <c r="F115" i="5"/>
  <c r="D139" i="5" s="1"/>
  <c r="F183" i="5"/>
  <c r="F186" i="5" s="1"/>
  <c r="F184" i="5"/>
  <c r="F191" i="5" s="1"/>
  <c r="B153" i="5" l="1"/>
  <c r="G70" i="5" s="1"/>
  <c r="J248" i="5"/>
  <c r="H268" i="5" a="1"/>
  <c r="H268" i="5" s="1"/>
  <c r="I240" i="5"/>
  <c r="J240" i="5"/>
  <c r="I267" i="5" s="1"/>
  <c r="D55" i="5" s="1"/>
  <c r="F229" i="5"/>
  <c r="B229" i="5"/>
  <c r="E227" i="5"/>
  <c r="D175" i="5"/>
  <c r="D160" i="5"/>
  <c r="D164" i="5"/>
  <c r="D171" i="5"/>
  <c r="F227" i="5"/>
  <c r="I65" i="5"/>
  <c r="J67" i="5"/>
  <c r="I68" i="5"/>
  <c r="D159" i="5"/>
  <c r="J64" i="5" s="1"/>
  <c r="D174" i="5"/>
  <c r="D170" i="5"/>
  <c r="D173" i="5"/>
  <c r="D158" i="5"/>
  <c r="J63" i="5" s="1"/>
  <c r="D128" i="5"/>
  <c r="I66" i="5" s="1"/>
  <c r="D162" i="5"/>
  <c r="J66" i="5" s="1"/>
  <c r="D124" i="5"/>
  <c r="I63" i="5" s="1"/>
  <c r="F190" i="5"/>
  <c r="D199" i="5" s="1"/>
  <c r="D135" i="5"/>
  <c r="F189" i="5"/>
  <c r="F187" i="5"/>
  <c r="H267" i="5" l="1"/>
  <c r="I263" i="5"/>
  <c r="I264" i="5" s="1"/>
  <c r="H248" i="5"/>
  <c r="B234" i="5"/>
  <c r="E231" i="5"/>
  <c r="J65" i="5"/>
  <c r="F231" i="5"/>
  <c r="F234" i="5"/>
  <c r="F238" i="5" s="1"/>
  <c r="J68" i="5"/>
  <c r="G199" i="5"/>
  <c r="J268" i="5"/>
  <c r="D56" i="5"/>
  <c r="D203" i="5"/>
  <c r="G203" i="5"/>
  <c r="D201" i="5"/>
  <c r="K66" i="5" s="1"/>
  <c r="D197" i="5"/>
  <c r="K63" i="5" s="1"/>
  <c r="D198" i="5"/>
  <c r="D202" i="5"/>
  <c r="K68" i="5" l="1"/>
  <c r="J264" i="5"/>
  <c r="D57" i="5"/>
  <c r="E57" i="5" s="1"/>
  <c r="E238" i="5"/>
  <c r="E239" i="5"/>
  <c r="F296" i="5"/>
  <c r="I269" i="5"/>
  <c r="H269" i="5"/>
  <c r="J267" i="5"/>
  <c r="K65" i="5"/>
  <c r="K64" i="5"/>
  <c r="K67" i="5"/>
  <c r="D259" i="5" l="1"/>
  <c r="F251" i="5"/>
  <c r="B259" i="5" s="1"/>
  <c r="E251" i="5"/>
  <c r="F239" i="5"/>
  <c r="E242" i="5"/>
  <c r="I274" i="5" l="1"/>
  <c r="F274" i="5"/>
  <c r="D248" i="5"/>
  <c r="F240" i="5"/>
  <c r="B248" i="5" s="1"/>
  <c r="E240" i="5"/>
  <c r="F309" i="5"/>
  <c r="F301" i="5"/>
  <c r="F308" i="5" s="1"/>
  <c r="F300" i="5"/>
  <c r="F295" i="5" l="1"/>
  <c r="F299" i="5" s="1"/>
  <c r="F304" i="5" s="1"/>
  <c r="D62" i="5"/>
  <c r="F310" i="5"/>
  <c r="F326" i="5"/>
  <c r="E338" i="5"/>
  <c r="F298" i="5" l="1"/>
  <c r="F306" i="5" s="1"/>
  <c r="F305" i="5"/>
  <c r="F318" i="5" s="1"/>
  <c r="F327" i="5"/>
  <c r="F338" i="5"/>
  <c r="E337" i="5" l="1"/>
  <c r="F330" i="5"/>
  <c r="F334" i="5"/>
  <c r="F319" i="5"/>
  <c r="F337" i="5"/>
  <c r="F329" i="5" l="1"/>
  <c r="F331" i="5" s="1"/>
  <c r="F333" i="5"/>
  <c r="F335" i="5" s="1"/>
  <c r="F339" i="5" l="1"/>
  <c r="E339" i="5"/>
  <c r="E341" i="5"/>
  <c r="F340" i="5"/>
  <c r="E340" i="5"/>
  <c r="F341" i="5" l="1"/>
  <c r="D63" i="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<sst xmlns="http://schemas.openxmlformats.org/spreadsheetml/2006/main" count="544" uniqueCount="414">
  <si>
    <t>Client</t>
  </si>
  <si>
    <t>Project</t>
  </si>
  <si>
    <t xml:space="preserve">Date: </t>
  </si>
  <si>
    <t>Finishes on landing</t>
  </si>
  <si>
    <t>Finishes on flight</t>
  </si>
  <si>
    <t>Concrete density</t>
  </si>
  <si>
    <t>Landing length (A)</t>
  </si>
  <si>
    <t>Landing width (B)</t>
  </si>
  <si>
    <t>Flight length (C)</t>
  </si>
  <si>
    <t>Flight width (D)</t>
  </si>
  <si>
    <t>Landing thickness (E)</t>
  </si>
  <si>
    <t>Rise (F)</t>
  </si>
  <si>
    <t>Going (G)</t>
  </si>
  <si>
    <t>Waist (H)</t>
  </si>
  <si>
    <t xml:space="preserve">Tread finishes = </t>
  </si>
  <si>
    <t>Live load on flight =</t>
  </si>
  <si>
    <t>Dist to front insert (I)</t>
  </si>
  <si>
    <t>Dist to rear insert (J)</t>
  </si>
  <si>
    <t>Location</t>
  </si>
  <si>
    <t xml:space="preserve">Tread No </t>
  </si>
  <si>
    <t>Dead load</t>
  </si>
  <si>
    <t>Live load</t>
  </si>
  <si>
    <t>[-]</t>
  </si>
  <si>
    <t>[m]</t>
  </si>
  <si>
    <r>
      <t>[kN/m</t>
    </r>
    <r>
      <rPr>
        <vertAlign val="superscript"/>
        <sz val="12"/>
        <rFont val="Arial"/>
        <family val="2"/>
      </rPr>
      <t>3</t>
    </r>
    <r>
      <rPr>
        <sz val="12"/>
        <rFont val="Arial"/>
        <family val="2"/>
      </rPr>
      <t>]</t>
    </r>
  </si>
  <si>
    <r>
      <t>[kN/m</t>
    </r>
    <r>
      <rPr>
        <vertAlign val="superscript"/>
        <sz val="12"/>
        <rFont val="Arial"/>
        <family val="2"/>
      </rPr>
      <t>2</t>
    </r>
    <r>
      <rPr>
        <sz val="12"/>
        <rFont val="Arial"/>
        <family val="2"/>
      </rPr>
      <t>]</t>
    </r>
  </si>
  <si>
    <t>INPUT:</t>
  </si>
  <si>
    <t>Flight (one):</t>
  </si>
  <si>
    <t>[mm]</t>
  </si>
  <si>
    <t>Sign</t>
  </si>
  <si>
    <t>Blue numbers: User input.</t>
  </si>
  <si>
    <t>Green numbers: Relevant output.</t>
  </si>
  <si>
    <t>Black numbers: Results from calculations,or values extracted from tabulated input on other sheets.</t>
  </si>
  <si>
    <t>USER GUIDE:</t>
  </si>
  <si>
    <t>Calculated length:</t>
  </si>
  <si>
    <t>Green text: Author's notes.</t>
  </si>
  <si>
    <r>
      <t>[m/s</t>
    </r>
    <r>
      <rPr>
        <vertAlign val="superscript"/>
        <sz val="12"/>
        <rFont val="Arial"/>
        <family val="2"/>
      </rPr>
      <t>2</t>
    </r>
    <r>
      <rPr>
        <sz val="12"/>
        <rFont val="Arial"/>
        <family val="2"/>
      </rPr>
      <t>]</t>
    </r>
  </si>
  <si>
    <t>Landing finishes =</t>
  </si>
  <si>
    <t>Live load on landing =</t>
  </si>
  <si>
    <t>Total weight of waist =</t>
  </si>
  <si>
    <t xml:space="preserve">Total weight of treads = </t>
  </si>
  <si>
    <t>Total weigtht of landing =</t>
  </si>
  <si>
    <r>
      <t>Effective width between inserts, D</t>
    </r>
    <r>
      <rPr>
        <vertAlign val="subscript"/>
        <sz val="12"/>
        <rFont val="Arial"/>
        <family val="2"/>
      </rPr>
      <t>ef</t>
    </r>
  </si>
  <si>
    <t>x</t>
  </si>
  <si>
    <t>y</t>
  </si>
  <si>
    <t>Stairs</t>
  </si>
  <si>
    <t>Connectors</t>
  </si>
  <si>
    <t>Forces</t>
  </si>
  <si>
    <r>
      <t>0.5 ∙ [F</t>
    </r>
    <r>
      <rPr>
        <vertAlign val="subscript"/>
        <sz val="12"/>
        <rFont val="Arial"/>
        <family val="2"/>
      </rPr>
      <t>x</t>
    </r>
    <r>
      <rPr>
        <sz val="12"/>
        <rFont val="Arial"/>
        <family val="2"/>
      </rPr>
      <t xml:space="preserve"> ∙ (H</t>
    </r>
    <r>
      <rPr>
        <vertAlign val="subscript"/>
        <sz val="12"/>
        <rFont val="Arial"/>
        <family val="2"/>
      </rPr>
      <t xml:space="preserve">tot </t>
    </r>
    <r>
      <rPr>
        <sz val="12"/>
        <rFont val="Arial"/>
        <family val="2"/>
      </rPr>
      <t>/ 2) / C] =</t>
    </r>
  </si>
  <si>
    <r>
      <t>0.5 ∙ F</t>
    </r>
    <r>
      <rPr>
        <vertAlign val="subscript"/>
        <sz val="12"/>
        <rFont val="Arial"/>
        <family val="2"/>
      </rPr>
      <t>x</t>
    </r>
    <r>
      <rPr>
        <sz val="12"/>
        <rFont val="Arial"/>
        <family val="2"/>
      </rPr>
      <t xml:space="preserve"> =</t>
    </r>
  </si>
  <si>
    <t>The stair flight is assumed to be simply supported on the stair landing.Vertical load from gravity on each insert is 25% of  the total vertical load:</t>
  </si>
  <si>
    <r>
      <t>0,5∙ C/D</t>
    </r>
    <r>
      <rPr>
        <vertAlign val="subscript"/>
        <sz val="12"/>
        <rFont val="Arial"/>
        <family val="2"/>
      </rPr>
      <t>ef</t>
    </r>
    <r>
      <rPr>
        <sz val="12"/>
        <rFont val="Arial"/>
        <family val="2"/>
      </rPr>
      <t xml:space="preserve"> ∙ F</t>
    </r>
    <r>
      <rPr>
        <vertAlign val="subscript"/>
        <sz val="12"/>
        <rFont val="Arial"/>
        <family val="2"/>
      </rPr>
      <t>y</t>
    </r>
    <r>
      <rPr>
        <sz val="12"/>
        <rFont val="Arial"/>
        <family val="2"/>
      </rPr>
      <t xml:space="preserve"> =</t>
    </r>
  </si>
  <si>
    <r>
      <t>0.5 ∙ F</t>
    </r>
    <r>
      <rPr>
        <vertAlign val="subscript"/>
        <sz val="12"/>
        <rFont val="Arial"/>
        <family val="2"/>
      </rPr>
      <t>ax</t>
    </r>
    <r>
      <rPr>
        <sz val="12"/>
        <rFont val="Arial"/>
        <family val="2"/>
      </rPr>
      <t xml:space="preserve"> =</t>
    </r>
  </si>
  <si>
    <r>
      <t>0.5 ∙ [F</t>
    </r>
    <r>
      <rPr>
        <vertAlign val="subscript"/>
        <sz val="12"/>
        <rFont val="Arial"/>
        <family val="2"/>
      </rPr>
      <t>ax</t>
    </r>
    <r>
      <rPr>
        <sz val="12"/>
        <rFont val="Arial"/>
        <family val="2"/>
      </rPr>
      <t xml:space="preserve"> ∙ (H</t>
    </r>
    <r>
      <rPr>
        <vertAlign val="subscript"/>
        <sz val="12"/>
        <rFont val="Arial"/>
        <family val="2"/>
      </rPr>
      <t xml:space="preserve">tot </t>
    </r>
    <r>
      <rPr>
        <sz val="12"/>
        <rFont val="Arial"/>
        <family val="2"/>
      </rPr>
      <t>/ 2) / C] =</t>
    </r>
  </si>
  <si>
    <t>=</t>
  </si>
  <si>
    <r>
      <t>0,5 ∙ F</t>
    </r>
    <r>
      <rPr>
        <vertAlign val="subscript"/>
        <sz val="12"/>
        <rFont val="Arial"/>
        <family val="2"/>
      </rPr>
      <t>y</t>
    </r>
    <r>
      <rPr>
        <sz val="12"/>
        <rFont val="Arial"/>
        <family val="2"/>
      </rPr>
      <t xml:space="preserve"> =</t>
    </r>
  </si>
  <si>
    <t>Reaction forces at base of flight:</t>
  </si>
  <si>
    <t xml:space="preserve">Support point 3 </t>
  </si>
  <si>
    <t xml:space="preserve">Support point 4 </t>
  </si>
  <si>
    <r>
      <t>V</t>
    </r>
    <r>
      <rPr>
        <i/>
        <vertAlign val="subscript"/>
        <sz val="12"/>
        <rFont val="Arial"/>
        <family val="2"/>
      </rPr>
      <t>Ed3x,ad</t>
    </r>
    <r>
      <rPr>
        <i/>
        <sz val="12"/>
        <rFont val="Arial"/>
        <family val="2"/>
      </rPr>
      <t>=sliding</t>
    </r>
  </si>
  <si>
    <r>
      <t>V</t>
    </r>
    <r>
      <rPr>
        <i/>
        <vertAlign val="subscript"/>
        <sz val="12"/>
        <rFont val="Arial"/>
        <family val="2"/>
      </rPr>
      <t>Ed3y,ad</t>
    </r>
    <r>
      <rPr>
        <i/>
        <sz val="12"/>
        <rFont val="Arial"/>
        <family val="2"/>
      </rPr>
      <t>=sliding</t>
    </r>
  </si>
  <si>
    <r>
      <t>V</t>
    </r>
    <r>
      <rPr>
        <i/>
        <vertAlign val="subscript"/>
        <sz val="12"/>
        <rFont val="Arial"/>
        <family val="2"/>
      </rPr>
      <t>Ed4x,ad</t>
    </r>
    <r>
      <rPr>
        <i/>
        <sz val="12"/>
        <rFont val="Arial"/>
        <family val="2"/>
      </rPr>
      <t>=sliding</t>
    </r>
  </si>
  <si>
    <r>
      <t>V</t>
    </r>
    <r>
      <rPr>
        <i/>
        <vertAlign val="subscript"/>
        <sz val="12"/>
        <rFont val="Arial"/>
        <family val="2"/>
      </rPr>
      <t>Ed4y,ad</t>
    </r>
    <r>
      <rPr>
        <i/>
        <sz val="12"/>
        <rFont val="Arial"/>
        <family val="2"/>
      </rPr>
      <t>=sliding</t>
    </r>
  </si>
  <si>
    <r>
      <t>V</t>
    </r>
    <r>
      <rPr>
        <i/>
        <vertAlign val="subscript"/>
        <sz val="12"/>
        <rFont val="Arial"/>
        <family val="2"/>
      </rPr>
      <t>Ed1x,ax</t>
    </r>
    <r>
      <rPr>
        <i/>
        <sz val="12"/>
        <rFont val="Arial"/>
        <family val="2"/>
      </rPr>
      <t>= -F</t>
    </r>
    <r>
      <rPr>
        <i/>
        <vertAlign val="subscript"/>
        <sz val="12"/>
        <rFont val="Arial"/>
        <family val="2"/>
      </rPr>
      <t>x.Fax</t>
    </r>
  </si>
  <si>
    <r>
      <t>V</t>
    </r>
    <r>
      <rPr>
        <i/>
        <vertAlign val="subscript"/>
        <sz val="12"/>
        <rFont val="Arial"/>
        <family val="2"/>
      </rPr>
      <t>Ed1z,ax</t>
    </r>
    <r>
      <rPr>
        <i/>
        <sz val="12"/>
        <rFont val="Arial"/>
        <family val="2"/>
      </rPr>
      <t>=F</t>
    </r>
    <r>
      <rPr>
        <i/>
        <vertAlign val="subscript"/>
        <sz val="12"/>
        <rFont val="Arial"/>
        <family val="2"/>
      </rPr>
      <t>z.gravity</t>
    </r>
    <r>
      <rPr>
        <i/>
        <sz val="12"/>
        <rFont val="Arial"/>
        <family val="2"/>
      </rPr>
      <t>+F</t>
    </r>
    <r>
      <rPr>
        <i/>
        <vertAlign val="subscript"/>
        <sz val="12"/>
        <rFont val="Arial"/>
        <family val="2"/>
      </rPr>
      <t>z.Fax</t>
    </r>
  </si>
  <si>
    <r>
      <t>V</t>
    </r>
    <r>
      <rPr>
        <i/>
        <vertAlign val="subscript"/>
        <sz val="12"/>
        <rFont val="Arial"/>
        <family val="2"/>
      </rPr>
      <t>Ed3x,ax</t>
    </r>
    <r>
      <rPr>
        <i/>
        <sz val="12"/>
        <rFont val="Arial"/>
        <family val="2"/>
      </rPr>
      <t>=sliding</t>
    </r>
  </si>
  <si>
    <r>
      <t>V</t>
    </r>
    <r>
      <rPr>
        <i/>
        <vertAlign val="subscript"/>
        <sz val="12"/>
        <rFont val="Arial"/>
        <family val="2"/>
      </rPr>
      <t>Ed3y,ax</t>
    </r>
    <r>
      <rPr>
        <i/>
        <sz val="12"/>
        <rFont val="Arial"/>
        <family val="2"/>
      </rPr>
      <t>=sliding</t>
    </r>
  </si>
  <si>
    <r>
      <t>V</t>
    </r>
    <r>
      <rPr>
        <i/>
        <vertAlign val="subscript"/>
        <sz val="12"/>
        <rFont val="Arial"/>
        <family val="2"/>
      </rPr>
      <t>Ed3z,ax</t>
    </r>
    <r>
      <rPr>
        <i/>
        <sz val="12"/>
        <rFont val="Arial"/>
        <family val="2"/>
      </rPr>
      <t>=F</t>
    </r>
    <r>
      <rPr>
        <i/>
        <vertAlign val="subscript"/>
        <sz val="12"/>
        <rFont val="Arial"/>
        <family val="2"/>
      </rPr>
      <t>z.gravity</t>
    </r>
    <r>
      <rPr>
        <i/>
        <sz val="12"/>
        <rFont val="Arial"/>
        <family val="2"/>
      </rPr>
      <t>-F</t>
    </r>
    <r>
      <rPr>
        <i/>
        <vertAlign val="subscript"/>
        <sz val="12"/>
        <rFont val="Arial"/>
        <family val="2"/>
      </rPr>
      <t>z.Fax</t>
    </r>
  </si>
  <si>
    <r>
      <t>V</t>
    </r>
    <r>
      <rPr>
        <i/>
        <vertAlign val="subscript"/>
        <sz val="12"/>
        <rFont val="Arial"/>
        <family val="2"/>
      </rPr>
      <t>Ed2x,ax</t>
    </r>
    <r>
      <rPr>
        <i/>
        <sz val="12"/>
        <rFont val="Arial"/>
        <family val="2"/>
      </rPr>
      <t>= -F</t>
    </r>
    <r>
      <rPr>
        <i/>
        <vertAlign val="subscript"/>
        <sz val="12"/>
        <rFont val="Arial"/>
        <family val="2"/>
      </rPr>
      <t>x.Fax</t>
    </r>
  </si>
  <si>
    <r>
      <t>V</t>
    </r>
    <r>
      <rPr>
        <i/>
        <vertAlign val="subscript"/>
        <sz val="12"/>
        <rFont val="Arial"/>
        <family val="2"/>
      </rPr>
      <t>Ed2z,ax</t>
    </r>
    <r>
      <rPr>
        <i/>
        <sz val="12"/>
        <rFont val="Arial"/>
        <family val="2"/>
      </rPr>
      <t>= F</t>
    </r>
    <r>
      <rPr>
        <i/>
        <vertAlign val="subscript"/>
        <sz val="12"/>
        <rFont val="Arial"/>
        <family val="2"/>
      </rPr>
      <t>z.gravity</t>
    </r>
    <r>
      <rPr>
        <i/>
        <sz val="12"/>
        <rFont val="Arial"/>
        <family val="2"/>
      </rPr>
      <t>+F</t>
    </r>
    <r>
      <rPr>
        <i/>
        <vertAlign val="subscript"/>
        <sz val="12"/>
        <rFont val="Arial"/>
        <family val="2"/>
      </rPr>
      <t>z.Fax</t>
    </r>
  </si>
  <si>
    <r>
      <t>V</t>
    </r>
    <r>
      <rPr>
        <i/>
        <vertAlign val="subscript"/>
        <sz val="12"/>
        <rFont val="Arial"/>
        <family val="2"/>
      </rPr>
      <t>Ed4x,ax</t>
    </r>
    <r>
      <rPr>
        <i/>
        <sz val="12"/>
        <rFont val="Arial"/>
        <family val="2"/>
      </rPr>
      <t>=sliding</t>
    </r>
  </si>
  <si>
    <r>
      <t>V</t>
    </r>
    <r>
      <rPr>
        <i/>
        <vertAlign val="subscript"/>
        <sz val="12"/>
        <rFont val="Arial"/>
        <family val="2"/>
      </rPr>
      <t>Ed4y,ax</t>
    </r>
    <r>
      <rPr>
        <i/>
        <sz val="12"/>
        <rFont val="Arial"/>
        <family val="2"/>
      </rPr>
      <t>=sliding</t>
    </r>
  </si>
  <si>
    <r>
      <t>V</t>
    </r>
    <r>
      <rPr>
        <i/>
        <vertAlign val="subscript"/>
        <sz val="12"/>
        <rFont val="Arial"/>
        <family val="2"/>
      </rPr>
      <t>Ed4z,ax</t>
    </r>
    <r>
      <rPr>
        <i/>
        <sz val="12"/>
        <rFont val="Arial"/>
        <family val="2"/>
      </rPr>
      <t>=F</t>
    </r>
    <r>
      <rPr>
        <i/>
        <vertAlign val="subscript"/>
        <sz val="12"/>
        <rFont val="Arial"/>
        <family val="2"/>
      </rPr>
      <t>z.gravity</t>
    </r>
    <r>
      <rPr>
        <i/>
        <sz val="12"/>
        <rFont val="Arial"/>
        <family val="2"/>
      </rPr>
      <t>-F</t>
    </r>
    <r>
      <rPr>
        <i/>
        <vertAlign val="subscript"/>
        <sz val="12"/>
        <rFont val="Arial"/>
        <family val="2"/>
      </rPr>
      <t>z.Fax</t>
    </r>
  </si>
  <si>
    <r>
      <t>V</t>
    </r>
    <r>
      <rPr>
        <i/>
        <vertAlign val="subscript"/>
        <sz val="12"/>
        <rFont val="Arial"/>
        <family val="2"/>
      </rPr>
      <t>Ed1x,ax</t>
    </r>
    <r>
      <rPr>
        <i/>
        <sz val="12"/>
        <rFont val="Arial"/>
        <family val="2"/>
      </rPr>
      <t>= F</t>
    </r>
    <r>
      <rPr>
        <i/>
        <vertAlign val="subscript"/>
        <sz val="12"/>
        <rFont val="Arial"/>
        <family val="2"/>
      </rPr>
      <t>x.Fax</t>
    </r>
  </si>
  <si>
    <r>
      <t>V</t>
    </r>
    <r>
      <rPr>
        <i/>
        <vertAlign val="subscript"/>
        <sz val="12"/>
        <rFont val="Arial"/>
        <family val="2"/>
      </rPr>
      <t>Ed1z,ax</t>
    </r>
    <r>
      <rPr>
        <i/>
        <sz val="12"/>
        <rFont val="Arial"/>
        <family val="2"/>
      </rPr>
      <t>=F</t>
    </r>
    <r>
      <rPr>
        <i/>
        <vertAlign val="subscript"/>
        <sz val="12"/>
        <rFont val="Arial"/>
        <family val="2"/>
      </rPr>
      <t>z.gravity</t>
    </r>
    <r>
      <rPr>
        <i/>
        <sz val="12"/>
        <rFont val="Arial"/>
        <family val="2"/>
      </rPr>
      <t>-F</t>
    </r>
    <r>
      <rPr>
        <i/>
        <vertAlign val="subscript"/>
        <sz val="12"/>
        <rFont val="Arial"/>
        <family val="2"/>
      </rPr>
      <t>z.Fax</t>
    </r>
  </si>
  <si>
    <r>
      <t>V</t>
    </r>
    <r>
      <rPr>
        <i/>
        <vertAlign val="subscript"/>
        <sz val="12"/>
        <rFont val="Arial"/>
        <family val="2"/>
      </rPr>
      <t>Ed3z,ax</t>
    </r>
    <r>
      <rPr>
        <i/>
        <sz val="12"/>
        <rFont val="Arial"/>
        <family val="2"/>
      </rPr>
      <t>=F</t>
    </r>
    <r>
      <rPr>
        <i/>
        <vertAlign val="subscript"/>
        <sz val="12"/>
        <rFont val="Arial"/>
        <family val="2"/>
      </rPr>
      <t xml:space="preserve">z.gravity </t>
    </r>
    <r>
      <rPr>
        <i/>
        <sz val="12"/>
        <rFont val="Arial"/>
        <family val="2"/>
      </rPr>
      <t>+F</t>
    </r>
    <r>
      <rPr>
        <i/>
        <vertAlign val="subscript"/>
        <sz val="12"/>
        <rFont val="Arial"/>
        <family val="2"/>
      </rPr>
      <t>z.Fax</t>
    </r>
  </si>
  <si>
    <r>
      <t>V</t>
    </r>
    <r>
      <rPr>
        <i/>
        <vertAlign val="subscript"/>
        <sz val="12"/>
        <rFont val="Arial"/>
        <family val="2"/>
      </rPr>
      <t>Ed2x,ax</t>
    </r>
    <r>
      <rPr>
        <i/>
        <sz val="12"/>
        <rFont val="Arial"/>
        <family val="2"/>
      </rPr>
      <t>= F</t>
    </r>
    <r>
      <rPr>
        <i/>
        <vertAlign val="subscript"/>
        <sz val="12"/>
        <rFont val="Arial"/>
        <family val="2"/>
      </rPr>
      <t>x.Fax</t>
    </r>
  </si>
  <si>
    <r>
      <t>V</t>
    </r>
    <r>
      <rPr>
        <i/>
        <vertAlign val="subscript"/>
        <sz val="12"/>
        <rFont val="Arial"/>
        <family val="2"/>
      </rPr>
      <t>Ed2z,ax</t>
    </r>
    <r>
      <rPr>
        <i/>
        <sz val="12"/>
        <rFont val="Arial"/>
        <family val="2"/>
      </rPr>
      <t>=F</t>
    </r>
    <r>
      <rPr>
        <i/>
        <vertAlign val="subscript"/>
        <sz val="12"/>
        <rFont val="Arial"/>
        <family val="2"/>
      </rPr>
      <t>z.gravity</t>
    </r>
    <r>
      <rPr>
        <i/>
        <sz val="12"/>
        <rFont val="Arial"/>
        <family val="2"/>
      </rPr>
      <t>-F</t>
    </r>
    <r>
      <rPr>
        <i/>
        <vertAlign val="subscript"/>
        <sz val="12"/>
        <rFont val="Arial"/>
        <family val="2"/>
      </rPr>
      <t>z.Fax</t>
    </r>
  </si>
  <si>
    <r>
      <t>V</t>
    </r>
    <r>
      <rPr>
        <i/>
        <vertAlign val="subscript"/>
        <sz val="12"/>
        <rFont val="Arial"/>
        <family val="2"/>
      </rPr>
      <t>Ed4z,ax</t>
    </r>
    <r>
      <rPr>
        <i/>
        <sz val="12"/>
        <rFont val="Arial"/>
        <family val="2"/>
      </rPr>
      <t>=F</t>
    </r>
    <r>
      <rPr>
        <i/>
        <vertAlign val="subscript"/>
        <sz val="12"/>
        <rFont val="Arial"/>
        <family val="2"/>
      </rPr>
      <t>z.gravity</t>
    </r>
    <r>
      <rPr>
        <i/>
        <sz val="12"/>
        <rFont val="Arial"/>
        <family val="2"/>
      </rPr>
      <t>+F</t>
    </r>
    <r>
      <rPr>
        <i/>
        <vertAlign val="subscript"/>
        <sz val="12"/>
        <rFont val="Arial"/>
        <family val="2"/>
      </rPr>
      <t>z.Fax</t>
    </r>
  </si>
  <si>
    <r>
      <t>V</t>
    </r>
    <r>
      <rPr>
        <i/>
        <vertAlign val="subscript"/>
        <sz val="12"/>
        <rFont val="Arial"/>
        <family val="2"/>
      </rPr>
      <t>Ed1x,ay</t>
    </r>
    <r>
      <rPr>
        <i/>
        <sz val="12"/>
        <rFont val="Arial"/>
        <family val="2"/>
      </rPr>
      <t>= F</t>
    </r>
    <r>
      <rPr>
        <i/>
        <vertAlign val="subscript"/>
        <sz val="12"/>
        <rFont val="Arial"/>
        <family val="2"/>
      </rPr>
      <t>x.Fay</t>
    </r>
  </si>
  <si>
    <r>
      <t>V</t>
    </r>
    <r>
      <rPr>
        <i/>
        <vertAlign val="subscript"/>
        <sz val="12"/>
        <rFont val="Arial"/>
        <family val="2"/>
      </rPr>
      <t>Ed1y,ay</t>
    </r>
    <r>
      <rPr>
        <i/>
        <sz val="12"/>
        <rFont val="Arial"/>
        <family val="2"/>
      </rPr>
      <t>=F</t>
    </r>
    <r>
      <rPr>
        <i/>
        <vertAlign val="subscript"/>
        <sz val="12"/>
        <rFont val="Arial"/>
        <family val="2"/>
      </rPr>
      <t>y.Fay</t>
    </r>
  </si>
  <si>
    <r>
      <t>V</t>
    </r>
    <r>
      <rPr>
        <i/>
        <vertAlign val="subscript"/>
        <sz val="12"/>
        <rFont val="Arial"/>
        <family val="2"/>
      </rPr>
      <t>Ed3x,ay</t>
    </r>
    <r>
      <rPr>
        <i/>
        <sz val="12"/>
        <rFont val="Arial"/>
        <family val="2"/>
      </rPr>
      <t>=sliding</t>
    </r>
  </si>
  <si>
    <r>
      <t>V</t>
    </r>
    <r>
      <rPr>
        <i/>
        <vertAlign val="subscript"/>
        <sz val="12"/>
        <rFont val="Arial"/>
        <family val="2"/>
      </rPr>
      <t>Ed3y,ay</t>
    </r>
    <r>
      <rPr>
        <i/>
        <sz val="12"/>
        <rFont val="Arial"/>
        <family val="2"/>
      </rPr>
      <t>=sliding</t>
    </r>
  </si>
  <si>
    <r>
      <t>V</t>
    </r>
    <r>
      <rPr>
        <i/>
        <vertAlign val="subscript"/>
        <sz val="12"/>
        <rFont val="Arial"/>
        <family val="2"/>
      </rPr>
      <t>Ed2x,ay</t>
    </r>
    <r>
      <rPr>
        <i/>
        <sz val="12"/>
        <rFont val="Arial"/>
        <family val="2"/>
      </rPr>
      <t>= -F</t>
    </r>
    <r>
      <rPr>
        <i/>
        <vertAlign val="subscript"/>
        <sz val="12"/>
        <rFont val="Arial"/>
        <family val="2"/>
      </rPr>
      <t>x.Fay</t>
    </r>
  </si>
  <si>
    <r>
      <t>V</t>
    </r>
    <r>
      <rPr>
        <i/>
        <vertAlign val="subscript"/>
        <sz val="12"/>
        <rFont val="Arial"/>
        <family val="2"/>
      </rPr>
      <t>Ed2y,ay</t>
    </r>
    <r>
      <rPr>
        <i/>
        <sz val="12"/>
        <rFont val="Arial"/>
        <family val="2"/>
      </rPr>
      <t>=F</t>
    </r>
    <r>
      <rPr>
        <i/>
        <vertAlign val="subscript"/>
        <sz val="12"/>
        <rFont val="Arial"/>
        <family val="2"/>
      </rPr>
      <t>y.Fay</t>
    </r>
  </si>
  <si>
    <r>
      <t>V</t>
    </r>
    <r>
      <rPr>
        <i/>
        <vertAlign val="subscript"/>
        <sz val="12"/>
        <rFont val="Arial"/>
        <family val="2"/>
      </rPr>
      <t>Ed4x,ay</t>
    </r>
    <r>
      <rPr>
        <i/>
        <sz val="12"/>
        <rFont val="Arial"/>
        <family val="2"/>
      </rPr>
      <t>=sliding</t>
    </r>
  </si>
  <si>
    <r>
      <t>V</t>
    </r>
    <r>
      <rPr>
        <i/>
        <vertAlign val="subscript"/>
        <sz val="12"/>
        <rFont val="Arial"/>
        <family val="2"/>
      </rPr>
      <t>Ed4y,ay</t>
    </r>
    <r>
      <rPr>
        <i/>
        <sz val="12"/>
        <rFont val="Arial"/>
        <family val="2"/>
      </rPr>
      <t>=sliding</t>
    </r>
  </si>
  <si>
    <r>
      <t>V</t>
    </r>
    <r>
      <rPr>
        <i/>
        <vertAlign val="subscript"/>
        <sz val="12"/>
        <rFont val="Arial"/>
        <family val="2"/>
      </rPr>
      <t>Ed1x,ay</t>
    </r>
    <r>
      <rPr>
        <i/>
        <sz val="12"/>
        <rFont val="Arial"/>
        <family val="2"/>
      </rPr>
      <t>= -F</t>
    </r>
    <r>
      <rPr>
        <i/>
        <vertAlign val="subscript"/>
        <sz val="12"/>
        <rFont val="Arial"/>
        <family val="2"/>
      </rPr>
      <t>x.Fay</t>
    </r>
  </si>
  <si>
    <r>
      <t>V</t>
    </r>
    <r>
      <rPr>
        <i/>
        <vertAlign val="subscript"/>
        <sz val="12"/>
        <rFont val="Arial"/>
        <family val="2"/>
      </rPr>
      <t>Ed2x,ay</t>
    </r>
    <r>
      <rPr>
        <i/>
        <sz val="12"/>
        <rFont val="Arial"/>
        <family val="2"/>
      </rPr>
      <t>= F</t>
    </r>
    <r>
      <rPr>
        <i/>
        <vertAlign val="subscript"/>
        <sz val="12"/>
        <rFont val="Arial"/>
        <family val="2"/>
      </rPr>
      <t>x.Fay</t>
    </r>
  </si>
  <si>
    <r>
      <t>a</t>
    </r>
    <r>
      <rPr>
        <vertAlign val="subscript"/>
        <sz val="12"/>
        <rFont val="Arial"/>
        <family val="2"/>
      </rPr>
      <t>max.</t>
    </r>
  </si>
  <si>
    <r>
      <t>V</t>
    </r>
    <r>
      <rPr>
        <i/>
        <vertAlign val="subscript"/>
        <sz val="12"/>
        <rFont val="Arial"/>
        <family val="2"/>
      </rPr>
      <t>Ed1x,ad</t>
    </r>
    <r>
      <rPr>
        <i/>
        <sz val="12"/>
        <rFont val="Arial"/>
        <family val="2"/>
      </rPr>
      <t>=  -F</t>
    </r>
    <r>
      <rPr>
        <i/>
        <vertAlign val="subscript"/>
        <sz val="12"/>
        <rFont val="Arial"/>
        <family val="2"/>
      </rPr>
      <t>x.Fx</t>
    </r>
    <r>
      <rPr>
        <i/>
        <sz val="12"/>
        <rFont val="Arial"/>
        <family val="2"/>
      </rPr>
      <t>+F</t>
    </r>
    <r>
      <rPr>
        <i/>
        <vertAlign val="subscript"/>
        <sz val="12"/>
        <rFont val="Arial"/>
        <family val="2"/>
      </rPr>
      <t>x.Fy</t>
    </r>
  </si>
  <si>
    <r>
      <t>V</t>
    </r>
    <r>
      <rPr>
        <i/>
        <vertAlign val="subscript"/>
        <sz val="12"/>
        <rFont val="Arial"/>
        <family val="2"/>
      </rPr>
      <t>Ed1y,ad</t>
    </r>
    <r>
      <rPr>
        <i/>
        <sz val="12"/>
        <rFont val="Arial"/>
        <family val="2"/>
      </rPr>
      <t>=F</t>
    </r>
    <r>
      <rPr>
        <i/>
        <vertAlign val="subscript"/>
        <sz val="12"/>
        <rFont val="Arial"/>
        <family val="2"/>
      </rPr>
      <t>y.Fx</t>
    </r>
    <r>
      <rPr>
        <i/>
        <sz val="12"/>
        <rFont val="Arial"/>
        <family val="2"/>
      </rPr>
      <t>-F</t>
    </r>
    <r>
      <rPr>
        <i/>
        <vertAlign val="subscript"/>
        <sz val="12"/>
        <rFont val="Arial"/>
        <family val="2"/>
      </rPr>
      <t>y.Fy</t>
    </r>
  </si>
  <si>
    <r>
      <t>V</t>
    </r>
    <r>
      <rPr>
        <i/>
        <vertAlign val="subscript"/>
        <sz val="12"/>
        <rFont val="Arial"/>
        <family val="2"/>
      </rPr>
      <t>Ed2x,ad</t>
    </r>
    <r>
      <rPr>
        <i/>
        <sz val="12"/>
        <rFont val="Arial"/>
        <family val="2"/>
      </rPr>
      <t>= -F</t>
    </r>
    <r>
      <rPr>
        <i/>
        <vertAlign val="subscript"/>
        <sz val="12"/>
        <rFont val="Arial"/>
        <family val="2"/>
      </rPr>
      <t>x.Fx</t>
    </r>
    <r>
      <rPr>
        <i/>
        <sz val="12"/>
        <rFont val="Arial"/>
        <family val="2"/>
      </rPr>
      <t>-F</t>
    </r>
    <r>
      <rPr>
        <i/>
        <vertAlign val="subscript"/>
        <sz val="12"/>
        <rFont val="Arial"/>
        <family val="2"/>
      </rPr>
      <t>x.Fy</t>
    </r>
  </si>
  <si>
    <r>
      <t>V</t>
    </r>
    <r>
      <rPr>
        <i/>
        <vertAlign val="subscript"/>
        <sz val="12"/>
        <rFont val="Arial"/>
        <family val="2"/>
      </rPr>
      <t>Ed2y,ad</t>
    </r>
    <r>
      <rPr>
        <i/>
        <sz val="12"/>
        <rFont val="Arial"/>
        <family val="2"/>
      </rPr>
      <t>= F</t>
    </r>
    <r>
      <rPr>
        <i/>
        <vertAlign val="subscript"/>
        <sz val="12"/>
        <rFont val="Arial"/>
        <family val="2"/>
      </rPr>
      <t>y.Fx</t>
    </r>
    <r>
      <rPr>
        <i/>
        <sz val="12"/>
        <rFont val="Arial"/>
        <family val="2"/>
      </rPr>
      <t>-F</t>
    </r>
    <r>
      <rPr>
        <i/>
        <vertAlign val="subscript"/>
        <sz val="12"/>
        <rFont val="Arial"/>
        <family val="2"/>
      </rPr>
      <t>y.Fy</t>
    </r>
  </si>
  <si>
    <r>
      <t>LIFT OFF: If F</t>
    </r>
    <r>
      <rPr>
        <i/>
        <vertAlign val="subscript"/>
        <sz val="12"/>
        <rFont val="Arial"/>
        <family val="2"/>
      </rPr>
      <t>z.Fax</t>
    </r>
    <r>
      <rPr>
        <i/>
        <sz val="12"/>
        <rFont val="Arial"/>
        <family val="2"/>
      </rPr>
      <t>&gt;F</t>
    </r>
    <r>
      <rPr>
        <i/>
        <vertAlign val="subscript"/>
        <sz val="12"/>
        <rFont val="Arial"/>
        <family val="2"/>
      </rPr>
      <t>z.gravity</t>
    </r>
    <r>
      <rPr>
        <i/>
        <sz val="12"/>
        <rFont val="Arial"/>
        <family val="2"/>
      </rPr>
      <t>,  the base of the flight will be lifted off the landing at both support points. This is not an allowable design situasjon.</t>
    </r>
  </si>
  <si>
    <r>
      <t>V</t>
    </r>
    <r>
      <rPr>
        <i/>
        <vertAlign val="subscript"/>
        <sz val="12"/>
        <rFont val="Arial"/>
        <family val="2"/>
      </rPr>
      <t>Ed1y,ax</t>
    </r>
    <r>
      <rPr>
        <i/>
        <sz val="12"/>
        <rFont val="Arial"/>
        <family val="2"/>
      </rPr>
      <t>=F</t>
    </r>
    <r>
      <rPr>
        <i/>
        <vertAlign val="subscript"/>
        <sz val="12"/>
        <rFont val="Arial"/>
        <family val="2"/>
      </rPr>
      <t>y.Fax</t>
    </r>
  </si>
  <si>
    <r>
      <t>V</t>
    </r>
    <r>
      <rPr>
        <i/>
        <vertAlign val="subscript"/>
        <sz val="12"/>
        <rFont val="Arial"/>
        <family val="2"/>
      </rPr>
      <t>Ed1y,ay</t>
    </r>
    <r>
      <rPr>
        <i/>
        <sz val="12"/>
        <rFont val="Arial"/>
        <family val="2"/>
      </rPr>
      <t>= - F</t>
    </r>
    <r>
      <rPr>
        <i/>
        <vertAlign val="subscript"/>
        <sz val="12"/>
        <rFont val="Arial"/>
        <family val="2"/>
      </rPr>
      <t>y.Fay</t>
    </r>
  </si>
  <si>
    <r>
      <t>V</t>
    </r>
    <r>
      <rPr>
        <i/>
        <vertAlign val="subscript"/>
        <sz val="12"/>
        <rFont val="Arial"/>
        <family val="2"/>
      </rPr>
      <t>Ed2y,ay</t>
    </r>
    <r>
      <rPr>
        <i/>
        <sz val="12"/>
        <rFont val="Arial"/>
        <family val="2"/>
      </rPr>
      <t>= - F</t>
    </r>
    <r>
      <rPr>
        <i/>
        <vertAlign val="subscript"/>
        <sz val="12"/>
        <rFont val="Arial"/>
        <family val="2"/>
      </rPr>
      <t>y.Fay</t>
    </r>
  </si>
  <si>
    <r>
      <t>V</t>
    </r>
    <r>
      <rPr>
        <i/>
        <vertAlign val="subscript"/>
        <sz val="12"/>
        <rFont val="Arial"/>
        <family val="2"/>
      </rPr>
      <t>Ed2y,ax</t>
    </r>
    <r>
      <rPr>
        <i/>
        <sz val="12"/>
        <rFont val="Arial"/>
        <family val="2"/>
      </rPr>
      <t>= F</t>
    </r>
    <r>
      <rPr>
        <i/>
        <vertAlign val="subscript"/>
        <sz val="12"/>
        <rFont val="Arial"/>
        <family val="2"/>
      </rPr>
      <t>y.Fax</t>
    </r>
  </si>
  <si>
    <r>
      <t>V</t>
    </r>
    <r>
      <rPr>
        <i/>
        <vertAlign val="subscript"/>
        <sz val="12"/>
        <rFont val="Arial"/>
        <family val="2"/>
      </rPr>
      <t>Ed2y,ax</t>
    </r>
    <r>
      <rPr>
        <i/>
        <sz val="12"/>
        <rFont val="Arial"/>
        <family val="2"/>
      </rPr>
      <t>=F</t>
    </r>
    <r>
      <rPr>
        <i/>
        <vertAlign val="subscript"/>
        <sz val="12"/>
        <rFont val="Arial"/>
        <family val="2"/>
      </rPr>
      <t>y.Fax</t>
    </r>
  </si>
  <si>
    <r>
      <t>0.5∙ C/D</t>
    </r>
    <r>
      <rPr>
        <vertAlign val="subscript"/>
        <sz val="12"/>
        <rFont val="Arial"/>
        <family val="2"/>
      </rPr>
      <t>ef</t>
    </r>
    <r>
      <rPr>
        <sz val="12"/>
        <rFont val="Arial"/>
        <family val="2"/>
      </rPr>
      <t xml:space="preserve"> ∙ F</t>
    </r>
    <r>
      <rPr>
        <vertAlign val="subscript"/>
        <sz val="12"/>
        <rFont val="Arial"/>
        <family val="2"/>
      </rPr>
      <t>ay</t>
    </r>
    <r>
      <rPr>
        <sz val="12"/>
        <rFont val="Arial"/>
        <family val="2"/>
      </rPr>
      <t xml:space="preserve"> =</t>
    </r>
  </si>
  <si>
    <r>
      <t>0.5 ∙ F</t>
    </r>
    <r>
      <rPr>
        <vertAlign val="subscript"/>
        <sz val="12"/>
        <rFont val="Arial"/>
        <family val="2"/>
      </rPr>
      <t>ay</t>
    </r>
    <r>
      <rPr>
        <sz val="12"/>
        <rFont val="Arial"/>
        <family val="2"/>
      </rPr>
      <t xml:space="preserve"> =</t>
    </r>
  </si>
  <si>
    <r>
      <t>F</t>
    </r>
    <r>
      <rPr>
        <vertAlign val="subscript"/>
        <sz val="12"/>
        <rFont val="Arial"/>
        <family val="2"/>
      </rPr>
      <t>ay</t>
    </r>
    <r>
      <rPr>
        <sz val="12"/>
        <rFont val="Arial"/>
        <family val="2"/>
      </rPr>
      <t xml:space="preserve"> ∙ (H</t>
    </r>
    <r>
      <rPr>
        <vertAlign val="subscript"/>
        <sz val="12"/>
        <rFont val="Arial"/>
        <family val="2"/>
      </rPr>
      <t xml:space="preserve">tot </t>
    </r>
    <r>
      <rPr>
        <sz val="12"/>
        <rFont val="Arial"/>
        <family val="2"/>
      </rPr>
      <t>/ 2) / D</t>
    </r>
    <r>
      <rPr>
        <vertAlign val="subscript"/>
        <sz val="12"/>
        <rFont val="Arial"/>
        <family val="2"/>
      </rPr>
      <t>ef</t>
    </r>
    <r>
      <rPr>
        <sz val="12"/>
        <rFont val="Arial"/>
        <family val="2"/>
      </rPr>
      <t xml:space="preserve"> =</t>
    </r>
  </si>
  <si>
    <r>
      <t>V</t>
    </r>
    <r>
      <rPr>
        <i/>
        <vertAlign val="subscript"/>
        <sz val="12"/>
        <rFont val="Arial"/>
        <family val="2"/>
      </rPr>
      <t>Ed2z,ay</t>
    </r>
    <r>
      <rPr>
        <i/>
        <sz val="12"/>
        <rFont val="Arial"/>
        <family val="2"/>
      </rPr>
      <t xml:space="preserve"> = F</t>
    </r>
    <r>
      <rPr>
        <i/>
        <vertAlign val="subscript"/>
        <sz val="12"/>
        <rFont val="Arial"/>
        <family val="2"/>
      </rPr>
      <t>z.gravity</t>
    </r>
    <r>
      <rPr>
        <i/>
        <sz val="12"/>
        <rFont val="Arial"/>
        <family val="2"/>
      </rPr>
      <t>+F</t>
    </r>
    <r>
      <rPr>
        <i/>
        <vertAlign val="subscript"/>
        <sz val="12"/>
        <rFont val="Arial"/>
        <family val="2"/>
      </rPr>
      <t>z.Fay</t>
    </r>
  </si>
  <si>
    <r>
      <t>V</t>
    </r>
    <r>
      <rPr>
        <i/>
        <vertAlign val="subscript"/>
        <sz val="12"/>
        <rFont val="Arial"/>
        <family val="2"/>
      </rPr>
      <t xml:space="preserve">Ed1z,ay </t>
    </r>
    <r>
      <rPr>
        <i/>
        <sz val="12"/>
        <rFont val="Arial"/>
        <family val="2"/>
      </rPr>
      <t>=F</t>
    </r>
    <r>
      <rPr>
        <i/>
        <vertAlign val="subscript"/>
        <sz val="12"/>
        <rFont val="Arial"/>
        <family val="2"/>
      </rPr>
      <t>z.gravity</t>
    </r>
    <r>
      <rPr>
        <i/>
        <sz val="12"/>
        <rFont val="Arial"/>
        <family val="2"/>
      </rPr>
      <t>-F</t>
    </r>
    <r>
      <rPr>
        <i/>
        <vertAlign val="subscript"/>
        <sz val="12"/>
        <rFont val="Arial"/>
        <family val="2"/>
      </rPr>
      <t>z.Fay</t>
    </r>
    <r>
      <rPr>
        <i/>
        <sz val="12"/>
        <rFont val="Arial"/>
        <family val="2"/>
      </rPr>
      <t xml:space="preserve"> </t>
    </r>
  </si>
  <si>
    <r>
      <t>V</t>
    </r>
    <r>
      <rPr>
        <i/>
        <vertAlign val="subscript"/>
        <sz val="12"/>
        <rFont val="Arial"/>
        <family val="2"/>
      </rPr>
      <t>Ed4z,ay</t>
    </r>
    <r>
      <rPr>
        <i/>
        <sz val="12"/>
        <rFont val="Arial"/>
        <family val="2"/>
      </rPr>
      <t>=F</t>
    </r>
    <r>
      <rPr>
        <i/>
        <vertAlign val="subscript"/>
        <sz val="12"/>
        <rFont val="Arial"/>
        <family val="2"/>
      </rPr>
      <t>z.gravity</t>
    </r>
  </si>
  <si>
    <r>
      <t>V</t>
    </r>
    <r>
      <rPr>
        <i/>
        <vertAlign val="subscript"/>
        <sz val="12"/>
        <rFont val="Arial"/>
        <family val="2"/>
      </rPr>
      <t xml:space="preserve">Ed3z,ay </t>
    </r>
    <r>
      <rPr>
        <i/>
        <sz val="12"/>
        <rFont val="Arial"/>
        <family val="2"/>
      </rPr>
      <t>=F</t>
    </r>
    <r>
      <rPr>
        <i/>
        <vertAlign val="subscript"/>
        <sz val="12"/>
        <rFont val="Arial"/>
        <family val="2"/>
      </rPr>
      <t>z.gravity</t>
    </r>
  </si>
  <si>
    <r>
      <t>V</t>
    </r>
    <r>
      <rPr>
        <i/>
        <vertAlign val="subscript"/>
        <sz val="12"/>
        <rFont val="Arial"/>
        <family val="2"/>
      </rPr>
      <t>Ed1z,ay</t>
    </r>
    <r>
      <rPr>
        <i/>
        <sz val="12"/>
        <rFont val="Arial"/>
        <family val="2"/>
      </rPr>
      <t xml:space="preserve"> = F</t>
    </r>
    <r>
      <rPr>
        <i/>
        <vertAlign val="subscript"/>
        <sz val="12"/>
        <rFont val="Arial"/>
        <family val="2"/>
      </rPr>
      <t>z.gravity</t>
    </r>
    <r>
      <rPr>
        <i/>
        <sz val="12"/>
        <rFont val="Arial"/>
        <family val="2"/>
      </rPr>
      <t>+F</t>
    </r>
    <r>
      <rPr>
        <i/>
        <vertAlign val="subscript"/>
        <sz val="12"/>
        <rFont val="Arial"/>
        <family val="2"/>
      </rPr>
      <t>z.Fay</t>
    </r>
  </si>
  <si>
    <r>
      <t>V</t>
    </r>
    <r>
      <rPr>
        <i/>
        <vertAlign val="subscript"/>
        <sz val="12"/>
        <rFont val="Arial"/>
        <family val="2"/>
      </rPr>
      <t>Ed2z,ay</t>
    </r>
    <r>
      <rPr>
        <i/>
        <sz val="12"/>
        <rFont val="Arial"/>
        <family val="2"/>
      </rPr>
      <t>=F</t>
    </r>
    <r>
      <rPr>
        <i/>
        <vertAlign val="subscript"/>
        <sz val="12"/>
        <rFont val="Arial"/>
        <family val="2"/>
      </rPr>
      <t>z.gravity</t>
    </r>
    <r>
      <rPr>
        <i/>
        <sz val="12"/>
        <rFont val="Arial"/>
        <family val="2"/>
      </rPr>
      <t>-F</t>
    </r>
    <r>
      <rPr>
        <i/>
        <vertAlign val="subscript"/>
        <sz val="12"/>
        <rFont val="Arial"/>
        <family val="2"/>
      </rPr>
      <t>z.Fay</t>
    </r>
    <r>
      <rPr>
        <i/>
        <sz val="12"/>
        <rFont val="Arial"/>
        <family val="2"/>
      </rPr>
      <t xml:space="preserve"> </t>
    </r>
  </si>
  <si>
    <r>
      <t>V</t>
    </r>
    <r>
      <rPr>
        <i/>
        <vertAlign val="subscript"/>
        <sz val="12"/>
        <rFont val="Arial"/>
        <family val="2"/>
      </rPr>
      <t>Ed3z,ay</t>
    </r>
    <r>
      <rPr>
        <i/>
        <sz val="12"/>
        <rFont val="Arial"/>
        <family val="2"/>
      </rPr>
      <t xml:space="preserve"> =F</t>
    </r>
    <r>
      <rPr>
        <i/>
        <vertAlign val="subscript"/>
        <sz val="12"/>
        <rFont val="Arial"/>
        <family val="2"/>
      </rPr>
      <t>z.gravity</t>
    </r>
  </si>
  <si>
    <r>
      <t>F</t>
    </r>
    <r>
      <rPr>
        <vertAlign val="subscript"/>
        <sz val="12"/>
        <rFont val="Arial"/>
        <family val="2"/>
      </rPr>
      <t>y</t>
    </r>
    <r>
      <rPr>
        <sz val="12"/>
        <rFont val="Arial"/>
        <family val="2"/>
      </rPr>
      <t xml:space="preserve"> ∙ (H</t>
    </r>
    <r>
      <rPr>
        <vertAlign val="subscript"/>
        <sz val="12"/>
        <rFont val="Arial"/>
        <family val="2"/>
      </rPr>
      <t xml:space="preserve">tot </t>
    </r>
    <r>
      <rPr>
        <sz val="12"/>
        <rFont val="Arial"/>
        <family val="2"/>
      </rPr>
      <t>/ 2) / D</t>
    </r>
    <r>
      <rPr>
        <vertAlign val="subscript"/>
        <sz val="12"/>
        <rFont val="Arial"/>
        <family val="2"/>
      </rPr>
      <t>ef</t>
    </r>
    <r>
      <rPr>
        <sz val="12"/>
        <rFont val="Arial"/>
        <family val="2"/>
      </rPr>
      <t xml:space="preserve"> =</t>
    </r>
  </si>
  <si>
    <r>
      <t>V</t>
    </r>
    <r>
      <rPr>
        <i/>
        <vertAlign val="subscript"/>
        <sz val="12"/>
        <rFont val="Arial"/>
        <family val="2"/>
      </rPr>
      <t xml:space="preserve">Ed3z,ad </t>
    </r>
    <r>
      <rPr>
        <i/>
        <sz val="12"/>
        <rFont val="Arial"/>
        <family val="2"/>
      </rPr>
      <t>=F</t>
    </r>
    <r>
      <rPr>
        <i/>
        <vertAlign val="subscript"/>
        <sz val="12"/>
        <rFont val="Arial"/>
        <family val="2"/>
      </rPr>
      <t>z.gravity</t>
    </r>
    <r>
      <rPr>
        <i/>
        <sz val="12"/>
        <rFont val="Arial"/>
        <family val="2"/>
      </rPr>
      <t>-F</t>
    </r>
    <r>
      <rPr>
        <i/>
        <vertAlign val="subscript"/>
        <sz val="12"/>
        <rFont val="Arial"/>
        <family val="2"/>
      </rPr>
      <t>z.Fx</t>
    </r>
  </si>
  <si>
    <r>
      <t>V</t>
    </r>
    <r>
      <rPr>
        <i/>
        <vertAlign val="subscript"/>
        <sz val="12"/>
        <rFont val="Arial"/>
        <family val="2"/>
      </rPr>
      <t>Ed4z,ad</t>
    </r>
    <r>
      <rPr>
        <i/>
        <sz val="12"/>
        <rFont val="Arial"/>
        <family val="2"/>
      </rPr>
      <t xml:space="preserve"> =F</t>
    </r>
    <r>
      <rPr>
        <i/>
        <vertAlign val="subscript"/>
        <sz val="12"/>
        <rFont val="Arial"/>
        <family val="2"/>
      </rPr>
      <t>z.gravity</t>
    </r>
    <r>
      <rPr>
        <i/>
        <sz val="12"/>
        <rFont val="Arial"/>
        <family val="2"/>
      </rPr>
      <t>-F</t>
    </r>
    <r>
      <rPr>
        <i/>
        <vertAlign val="subscript"/>
        <sz val="12"/>
        <rFont val="Arial"/>
        <family val="2"/>
      </rPr>
      <t>z.Fx</t>
    </r>
  </si>
  <si>
    <r>
      <t>V</t>
    </r>
    <r>
      <rPr>
        <i/>
        <vertAlign val="subscript"/>
        <sz val="12"/>
        <rFont val="Arial"/>
        <family val="2"/>
      </rPr>
      <t>Ed1z,ad</t>
    </r>
    <r>
      <rPr>
        <i/>
        <sz val="12"/>
        <rFont val="Arial"/>
        <family val="2"/>
      </rPr>
      <t>=F</t>
    </r>
    <r>
      <rPr>
        <i/>
        <vertAlign val="subscript"/>
        <sz val="12"/>
        <rFont val="Arial"/>
        <family val="2"/>
      </rPr>
      <t>z.gravity</t>
    </r>
    <r>
      <rPr>
        <i/>
        <sz val="12"/>
        <rFont val="Arial"/>
        <family val="2"/>
      </rPr>
      <t>+F</t>
    </r>
    <r>
      <rPr>
        <i/>
        <vertAlign val="subscript"/>
        <sz val="12"/>
        <rFont val="Arial"/>
        <family val="2"/>
      </rPr>
      <t>z.Fx</t>
    </r>
    <r>
      <rPr>
        <i/>
        <sz val="12"/>
        <rFont val="Arial"/>
        <family val="2"/>
      </rPr>
      <t>-F</t>
    </r>
    <r>
      <rPr>
        <i/>
        <vertAlign val="subscript"/>
        <sz val="12"/>
        <rFont val="Arial"/>
        <family val="2"/>
      </rPr>
      <t xml:space="preserve">z.Fy </t>
    </r>
  </si>
  <si>
    <r>
      <t>V</t>
    </r>
    <r>
      <rPr>
        <i/>
        <vertAlign val="subscript"/>
        <sz val="12"/>
        <rFont val="Arial"/>
        <family val="2"/>
      </rPr>
      <t xml:space="preserve">Ed2z,ad </t>
    </r>
    <r>
      <rPr>
        <i/>
        <sz val="12"/>
        <rFont val="Arial"/>
        <family val="2"/>
      </rPr>
      <t>=</t>
    </r>
    <r>
      <rPr>
        <i/>
        <vertAlign val="subscript"/>
        <sz val="12"/>
        <rFont val="Arial"/>
        <family val="2"/>
      </rPr>
      <t xml:space="preserve"> </t>
    </r>
    <r>
      <rPr>
        <i/>
        <sz val="12"/>
        <rFont val="Arial"/>
        <family val="2"/>
      </rPr>
      <t>F</t>
    </r>
    <r>
      <rPr>
        <i/>
        <vertAlign val="subscript"/>
        <sz val="12"/>
        <rFont val="Arial"/>
        <family val="2"/>
      </rPr>
      <t>z.gravity</t>
    </r>
    <r>
      <rPr>
        <i/>
        <sz val="12"/>
        <rFont val="Arial"/>
        <family val="2"/>
      </rPr>
      <t>+F</t>
    </r>
    <r>
      <rPr>
        <i/>
        <vertAlign val="subscript"/>
        <sz val="12"/>
        <rFont val="Arial"/>
        <family val="2"/>
      </rPr>
      <t>z.Fx</t>
    </r>
    <r>
      <rPr>
        <i/>
        <sz val="12"/>
        <rFont val="Arial"/>
        <family val="2"/>
      </rPr>
      <t>+F</t>
    </r>
    <r>
      <rPr>
        <i/>
        <vertAlign val="subscript"/>
        <sz val="12"/>
        <rFont val="Arial"/>
        <family val="2"/>
      </rPr>
      <t>z.Fy</t>
    </r>
  </si>
  <si>
    <t>MATERIAL</t>
  </si>
  <si>
    <t>Dead loads:</t>
  </si>
  <si>
    <r>
      <t>Gravity (g</t>
    </r>
    <r>
      <rPr>
        <vertAlign val="subscript"/>
        <sz val="12"/>
        <rFont val="Arial"/>
        <family val="2"/>
      </rPr>
      <t>v</t>
    </r>
    <r>
      <rPr>
        <sz val="12"/>
        <rFont val="Arial"/>
        <family val="2"/>
      </rPr>
      <t>)</t>
    </r>
  </si>
  <si>
    <t>Cantilevering (fixed)</t>
  </si>
  <si>
    <t xml:space="preserve">ALS (EARTHQUAKE) - LOAD FACTORS 
AND HORIZONTAL ACCELERATION
</t>
  </si>
  <si>
    <t xml:space="preserve">ULS - LOAD FACTORS </t>
  </si>
  <si>
    <t>ALS</t>
  </si>
  <si>
    <t>ULS</t>
  </si>
  <si>
    <r>
      <t>Height stair, H</t>
    </r>
    <r>
      <rPr>
        <vertAlign val="subscript"/>
        <sz val="12"/>
        <rFont val="Arial"/>
        <family val="2"/>
      </rPr>
      <t>tot</t>
    </r>
    <r>
      <rPr>
        <sz val="12"/>
        <rFont val="Arial"/>
        <family val="2"/>
      </rPr>
      <t xml:space="preserve"> (calculated)</t>
    </r>
  </si>
  <si>
    <t>NOTE: Minimum concrete grade: C35/45</t>
  </si>
  <si>
    <r>
      <t>Horizontal Design Acceleration (a</t>
    </r>
    <r>
      <rPr>
        <vertAlign val="subscript"/>
        <sz val="12"/>
        <rFont val="Arial"/>
        <family val="2"/>
      </rPr>
      <t>d</t>
    </r>
    <r>
      <rPr>
        <sz val="12"/>
        <rFont val="Arial"/>
        <family val="2"/>
      </rPr>
      <t>)</t>
    </r>
    <r>
      <rPr>
        <vertAlign val="subscript"/>
        <sz val="12"/>
        <rFont val="Arial"/>
        <family val="2"/>
      </rPr>
      <t xml:space="preserve">
</t>
    </r>
    <r>
      <rPr>
        <sz val="12"/>
        <rFont val="Arial"/>
        <family val="2"/>
      </rPr>
      <t>=Peak Floor Acceleration (PFA)</t>
    </r>
  </si>
  <si>
    <t>Total vertical load on one flight:</t>
  </si>
  <si>
    <r>
      <t>Q</t>
    </r>
    <r>
      <rPr>
        <vertAlign val="subscript"/>
        <sz val="12"/>
        <rFont val="Arial"/>
        <family val="2"/>
      </rPr>
      <t>Tot.One.Flight.ULS</t>
    </r>
    <r>
      <rPr>
        <sz val="12"/>
        <rFont val="Arial"/>
        <family val="2"/>
      </rPr>
      <t>=</t>
    </r>
  </si>
  <si>
    <r>
      <t>Q</t>
    </r>
    <r>
      <rPr>
        <vertAlign val="subscript"/>
        <sz val="12"/>
        <rFont val="Arial"/>
        <family val="2"/>
      </rPr>
      <t>Tot.One.Flight.ALS</t>
    </r>
    <r>
      <rPr>
        <sz val="12"/>
        <rFont val="Arial"/>
        <family val="2"/>
      </rPr>
      <t>=</t>
    </r>
  </si>
  <si>
    <r>
      <t>Q</t>
    </r>
    <r>
      <rPr>
        <vertAlign val="subscript"/>
        <sz val="12"/>
        <rFont val="Arial"/>
        <family val="2"/>
      </rPr>
      <t>Tot.One.Flight.ALS</t>
    </r>
    <r>
      <rPr>
        <sz val="12"/>
        <rFont val="Arial"/>
        <family val="2"/>
      </rPr>
      <t>/4 =</t>
    </r>
  </si>
  <si>
    <r>
      <t>F</t>
    </r>
    <r>
      <rPr>
        <vertAlign val="subscript"/>
        <sz val="12"/>
        <rFont val="Arial"/>
        <family val="2"/>
      </rPr>
      <t>ay</t>
    </r>
    <r>
      <rPr>
        <sz val="12"/>
        <rFont val="Arial"/>
        <family val="2"/>
      </rPr>
      <t xml:space="preserve"> = Q</t>
    </r>
    <r>
      <rPr>
        <vertAlign val="subscript"/>
        <sz val="12"/>
        <rFont val="Arial"/>
        <family val="2"/>
      </rPr>
      <t>Tot.One.Flight.ALS</t>
    </r>
    <r>
      <rPr>
        <sz val="12"/>
        <rFont val="Arial"/>
        <family val="2"/>
      </rPr>
      <t xml:space="preserve"> ∙ (a</t>
    </r>
    <r>
      <rPr>
        <vertAlign val="subscript"/>
        <sz val="12"/>
        <rFont val="Arial"/>
        <family val="2"/>
      </rPr>
      <t>y</t>
    </r>
    <r>
      <rPr>
        <sz val="12"/>
        <rFont val="Arial"/>
        <family val="2"/>
      </rPr>
      <t>/g</t>
    </r>
    <r>
      <rPr>
        <vertAlign val="subscript"/>
        <sz val="12"/>
        <rFont val="Arial"/>
        <family val="2"/>
      </rPr>
      <t>v</t>
    </r>
    <r>
      <rPr>
        <sz val="12"/>
        <rFont val="Arial"/>
        <family val="2"/>
      </rPr>
      <t>) =</t>
    </r>
  </si>
  <si>
    <t>NOTE: Minimum landing thickness: E=200mm</t>
  </si>
  <si>
    <t>NOTE: Minimum edge distances: l and J: =180mm</t>
  </si>
  <si>
    <t>VERTICAL LOADS ON FLIGHT AND LANDING</t>
  </si>
  <si>
    <t>Total vertical load on landing itself:</t>
  </si>
  <si>
    <t xml:space="preserve">ALS </t>
  </si>
  <si>
    <t xml:space="preserve">Vertical load on rear inserts - ULS load on landing and flight </t>
  </si>
  <si>
    <t xml:space="preserve">Vertical load on front inserts - ULS load on landing and flight </t>
  </si>
  <si>
    <t>Net vertical load on rear inserts</t>
  </si>
  <si>
    <t>Vertical load on rear inserts in landing - from  ULS load on flight</t>
  </si>
  <si>
    <t xml:space="preserve">Control of total load: </t>
  </si>
  <si>
    <t>Total live load flight =</t>
  </si>
  <si>
    <t xml:space="preserve">Total dead load flight = </t>
  </si>
  <si>
    <t xml:space="preserve">GEOMETRY OF LANDING AND FLIGHT </t>
  </si>
  <si>
    <t>Dead load factor ULS</t>
  </si>
  <si>
    <t>Live load factor ULS</t>
  </si>
  <si>
    <t>Dead load factor ALS</t>
  </si>
  <si>
    <t>Live load factor ALS</t>
  </si>
  <si>
    <t>LANDING CONNECTIONS (TSS 101, RVK 101 or TSS 102)</t>
  </si>
  <si>
    <t>Live load:</t>
  </si>
  <si>
    <t>Landing</t>
  </si>
  <si>
    <t>Flight</t>
  </si>
  <si>
    <r>
      <t>Max. vertical load - front insert, F</t>
    </r>
    <r>
      <rPr>
        <i/>
        <vertAlign val="subscript"/>
        <sz val="12"/>
        <rFont val="Arial"/>
        <family val="2"/>
      </rPr>
      <t>va.front</t>
    </r>
  </si>
  <si>
    <r>
      <t>Max. horizontal load - front insert, F</t>
    </r>
    <r>
      <rPr>
        <i/>
        <vertAlign val="subscript"/>
        <sz val="12"/>
        <rFont val="Arial"/>
        <family val="2"/>
      </rPr>
      <t>ha.front</t>
    </r>
  </si>
  <si>
    <r>
      <t>Q</t>
    </r>
    <r>
      <rPr>
        <vertAlign val="subscript"/>
        <sz val="12"/>
        <rFont val="Arial"/>
        <family val="2"/>
      </rPr>
      <t>Tot.Landing.ALS</t>
    </r>
    <r>
      <rPr>
        <sz val="12"/>
        <rFont val="Arial"/>
        <family val="2"/>
      </rPr>
      <t>=</t>
    </r>
  </si>
  <si>
    <r>
      <t>Q</t>
    </r>
    <r>
      <rPr>
        <vertAlign val="subscript"/>
        <sz val="12"/>
        <rFont val="Arial"/>
        <family val="2"/>
      </rPr>
      <t>Tot.Landing.ULS</t>
    </r>
    <r>
      <rPr>
        <sz val="12"/>
        <rFont val="Arial"/>
        <family val="2"/>
      </rPr>
      <t>=</t>
    </r>
  </si>
  <si>
    <r>
      <t>Q</t>
    </r>
    <r>
      <rPr>
        <vertAlign val="subscript"/>
        <sz val="9"/>
        <rFont val="Arial"/>
        <family val="2"/>
      </rPr>
      <t>Tot.Landing.ULS</t>
    </r>
    <r>
      <rPr>
        <sz val="9"/>
        <rFont val="Arial"/>
        <family val="2"/>
      </rPr>
      <t>+Q</t>
    </r>
    <r>
      <rPr>
        <vertAlign val="subscript"/>
        <sz val="9"/>
        <rFont val="Arial"/>
        <family val="2"/>
      </rPr>
      <t>Tot.One.Flight.ULS</t>
    </r>
    <r>
      <rPr>
        <sz val="9"/>
        <rFont val="Arial"/>
        <family val="2"/>
      </rPr>
      <t>/2*2</t>
    </r>
  </si>
  <si>
    <r>
      <t>f</t>
    </r>
    <r>
      <rPr>
        <vertAlign val="subscript"/>
        <sz val="10"/>
        <color theme="1"/>
        <rFont val="Arial"/>
        <family val="2"/>
      </rPr>
      <t>y</t>
    </r>
  </si>
  <si>
    <r>
      <t>f</t>
    </r>
    <r>
      <rPr>
        <vertAlign val="subscript"/>
        <sz val="10"/>
        <color theme="1"/>
        <rFont val="Arial"/>
        <family val="2"/>
      </rPr>
      <t>u</t>
    </r>
  </si>
  <si>
    <r>
      <t>γ</t>
    </r>
    <r>
      <rPr>
        <vertAlign val="subscript"/>
        <sz val="11"/>
        <rFont val="Calibri"/>
        <family val="2"/>
      </rPr>
      <t>M0</t>
    </r>
  </si>
  <si>
    <t>Cross-section area of the bridge element (inner tube)</t>
  </si>
  <si>
    <t>Length of the bridge element</t>
  </si>
  <si>
    <t>Max permitted extension of the bridge element</t>
  </si>
  <si>
    <t>Material safety factor</t>
  </si>
  <si>
    <t>a*</t>
  </si>
  <si>
    <t>Nominal value of the cantilever arm</t>
  </si>
  <si>
    <r>
      <t>[mm</t>
    </r>
    <r>
      <rPr>
        <vertAlign val="superscript"/>
        <sz val="9"/>
        <color theme="1"/>
        <rFont val="Arial"/>
        <family val="2"/>
      </rPr>
      <t>2</t>
    </r>
    <r>
      <rPr>
        <sz val="9"/>
        <color theme="1"/>
        <rFont val="Arial"/>
        <family val="2"/>
      </rPr>
      <t>]</t>
    </r>
  </si>
  <si>
    <t>[MPa]</t>
  </si>
  <si>
    <t>b*</t>
  </si>
  <si>
    <t>Nominal value of the inner lever arm</t>
  </si>
  <si>
    <t>Maximum Vertical loading</t>
  </si>
  <si>
    <t>Material properties - steel unit</t>
  </si>
  <si>
    <t>Dimensions - steel unit</t>
  </si>
  <si>
    <t>[kN]</t>
  </si>
  <si>
    <t>Maximum Horizontal loading</t>
  </si>
  <si>
    <t>Internal design reaction forces</t>
  </si>
  <si>
    <t>Cantilever arm from the concrete slab edge to the centre of the support area</t>
  </si>
  <si>
    <t>Weak axis</t>
  </si>
  <si>
    <t>X</t>
  </si>
  <si>
    <t>[kNm]</t>
  </si>
  <si>
    <t>Strong axis</t>
  </si>
  <si>
    <t>Cross section capacity</t>
  </si>
  <si>
    <t>Design shear resistance</t>
  </si>
  <si>
    <t>Moment resistance (without reductions)</t>
  </si>
  <si>
    <r>
      <t>[mm</t>
    </r>
    <r>
      <rPr>
        <vertAlign val="superscript"/>
        <sz val="9"/>
        <rFont val="Arial"/>
        <family val="2"/>
      </rPr>
      <t>3</t>
    </r>
    <r>
      <rPr>
        <sz val="9"/>
        <rFont val="Arial"/>
        <family val="2"/>
      </rPr>
      <t>]</t>
    </r>
  </si>
  <si>
    <r>
      <t>[mm</t>
    </r>
    <r>
      <rPr>
        <vertAlign val="superscript"/>
        <sz val="9"/>
        <rFont val="Arial"/>
        <family val="2"/>
      </rPr>
      <t>2</t>
    </r>
    <r>
      <rPr>
        <sz val="9"/>
        <rFont val="Arial"/>
        <family val="2"/>
      </rPr>
      <t>]</t>
    </r>
  </si>
  <si>
    <t>With of the bridge element (inner tube)</t>
  </si>
  <si>
    <t>Hight of the bridge element (inner tube)</t>
  </si>
  <si>
    <t>Thickness of the bridge element (inner tube)</t>
  </si>
  <si>
    <t>Reduced yield stress in shear area</t>
  </si>
  <si>
    <t>Loads on the unit</t>
  </si>
  <si>
    <t>Utilization of inner tube</t>
  </si>
  <si>
    <t>Bridge elment (inner tube)</t>
  </si>
  <si>
    <t>Page 3 of 4</t>
  </si>
  <si>
    <t>Page 4 of 4</t>
  </si>
  <si>
    <t>Page 2 of 4</t>
  </si>
  <si>
    <t>Page 1 of 4</t>
  </si>
  <si>
    <t>CFRHS 100 x 50 x6,0</t>
  </si>
  <si>
    <t xml:space="preserve">DISCLAIMER:
This spreadsheet is provided free of charge "AS IS" without warranty of any kind, express or implied. In no event, shall the author or Invisible Connections be liable for any claim, damages or 
other liability arising from use of the results from the spreadsheet. The user shall be familiar with the information and guidelines provided in 
relevant Memos (available for download on www.invisibleconnections.no), and have adequate qualifications and knowledge about design of concrete structures. 
The user shall always check the reasonableness of the results by other software or by hand calculations. </t>
  </si>
  <si>
    <t xml:space="preserve">Weak axis - Reductions in moment capacity  due to shear force in z and y direction </t>
  </si>
  <si>
    <t>Strong axis - Reductions in moment capacity due to shear force in z and y direction</t>
  </si>
  <si>
    <t>j*</t>
  </si>
  <si>
    <r>
      <t>Horizontal inertial force in x-direction: F</t>
    </r>
    <r>
      <rPr>
        <i/>
        <vertAlign val="subscript"/>
        <sz val="12"/>
        <rFont val="Arial"/>
        <family val="2"/>
      </rPr>
      <t>ax</t>
    </r>
  </si>
  <si>
    <r>
      <t>Horizontal inertial force in y-direction: F</t>
    </r>
    <r>
      <rPr>
        <i/>
        <vertAlign val="subscript"/>
        <sz val="12"/>
        <rFont val="Arial"/>
        <family val="2"/>
      </rPr>
      <t>ay</t>
    </r>
  </si>
  <si>
    <r>
      <t xml:space="preserve">Horizontal inertial force in direction of angle </t>
    </r>
    <r>
      <rPr>
        <i/>
        <sz val="12"/>
        <rFont val="Symbol"/>
        <family val="1"/>
        <charset val="2"/>
      </rPr>
      <t>a</t>
    </r>
    <r>
      <rPr>
        <i/>
        <vertAlign val="subscript"/>
        <sz val="12"/>
        <rFont val="Arial"/>
        <family val="2"/>
      </rPr>
      <t>max</t>
    </r>
    <r>
      <rPr>
        <i/>
        <sz val="12"/>
        <rFont val="Arial"/>
        <family val="2"/>
      </rPr>
      <t xml:space="preserve"> ,F</t>
    </r>
    <r>
      <rPr>
        <i/>
        <vertAlign val="subscript"/>
        <sz val="12"/>
        <rFont val="Arial"/>
        <family val="2"/>
      </rPr>
      <t>a</t>
    </r>
  </si>
  <si>
    <r>
      <t>Horizontal inertial force in x-direction: F</t>
    </r>
    <r>
      <rPr>
        <vertAlign val="subscript"/>
        <sz val="12"/>
        <rFont val="Arial"/>
        <family val="2"/>
      </rPr>
      <t>x</t>
    </r>
  </si>
  <si>
    <r>
      <t>Horizontal inertial force in y-direction: F</t>
    </r>
    <r>
      <rPr>
        <vertAlign val="subscript"/>
        <sz val="12"/>
        <rFont val="Arial"/>
        <family val="2"/>
      </rPr>
      <t>y</t>
    </r>
  </si>
  <si>
    <t>Landing (one):</t>
  </si>
  <si>
    <t>Total dead load landing =</t>
  </si>
  <si>
    <t>Total live load landing =</t>
  </si>
  <si>
    <t>CALCULATIONS:</t>
  </si>
  <si>
    <t>1) Static load on flight and landing</t>
  </si>
  <si>
    <t>5) Load on inserts in landing:</t>
  </si>
  <si>
    <t xml:space="preserve">NOTE: 
- Horizontal Design Acceleration is the peak floor acceleration (PFA) in the building, at the level of the connection between the landing and the wall. 
- Vertical component of earthquake is not considered. </t>
  </si>
  <si>
    <t>SUMMARY OF RESULTS:</t>
  </si>
  <si>
    <t xml:space="preserve">ULS: </t>
  </si>
  <si>
    <t>Utilization of steel unit combined load: *)</t>
  </si>
  <si>
    <r>
      <t>Cross section actions V</t>
    </r>
    <r>
      <rPr>
        <b/>
        <vertAlign val="subscript"/>
        <sz val="12"/>
        <rFont val="Arial"/>
        <family val="2"/>
      </rPr>
      <t xml:space="preserve">Ed </t>
    </r>
    <r>
      <rPr>
        <b/>
        <sz val="12"/>
        <rFont val="Arial"/>
        <family val="2"/>
      </rPr>
      <t>and M</t>
    </r>
    <r>
      <rPr>
        <b/>
        <vertAlign val="subscript"/>
        <sz val="12"/>
        <rFont val="Arial"/>
        <family val="2"/>
      </rPr>
      <t xml:space="preserve">Ed </t>
    </r>
    <r>
      <rPr>
        <b/>
        <sz val="12"/>
        <rFont val="Arial"/>
        <family val="2"/>
      </rPr>
      <t>at maximum moment</t>
    </r>
  </si>
  <si>
    <r>
      <t>F</t>
    </r>
    <r>
      <rPr>
        <vertAlign val="subscript"/>
        <sz val="12"/>
        <rFont val="Arial"/>
        <family val="2"/>
      </rPr>
      <t>V.Ed</t>
    </r>
  </si>
  <si>
    <r>
      <t>Distance from slab edge to centre of anchoring reinforcement=(a*-e</t>
    </r>
    <r>
      <rPr>
        <i/>
        <vertAlign val="subscript"/>
        <sz val="9"/>
        <color theme="1"/>
        <rFont val="Arial"/>
        <family val="2"/>
      </rPr>
      <t>cantilever</t>
    </r>
    <r>
      <rPr>
        <i/>
        <sz val="9"/>
        <color theme="1"/>
        <rFont val="Arial"/>
        <family val="2"/>
      </rPr>
      <t>)</t>
    </r>
  </si>
  <si>
    <r>
      <t>Nominal values of the yield strength, f</t>
    </r>
    <r>
      <rPr>
        <i/>
        <vertAlign val="subscript"/>
        <sz val="12"/>
        <color theme="1"/>
        <rFont val="Arial"/>
        <family val="2"/>
      </rPr>
      <t>y</t>
    </r>
    <r>
      <rPr>
        <i/>
        <sz val="12"/>
        <color theme="1"/>
        <rFont val="Arial"/>
        <family val="2"/>
      </rPr>
      <t>, and the ultimate tensile strength, f</t>
    </r>
    <r>
      <rPr>
        <i/>
        <vertAlign val="subscript"/>
        <sz val="12"/>
        <color theme="1"/>
        <rFont val="Arial"/>
        <family val="2"/>
      </rPr>
      <t>u</t>
    </r>
    <r>
      <rPr>
        <i/>
        <sz val="12"/>
        <color theme="1"/>
        <rFont val="Arial"/>
        <family val="2"/>
      </rPr>
      <t>, corresponding to EN 1993-1-1 or EN 1993-1-4.</t>
    </r>
  </si>
  <si>
    <r>
      <t>F</t>
    </r>
    <r>
      <rPr>
        <vertAlign val="subscript"/>
        <sz val="12"/>
        <rFont val="Arial"/>
        <family val="2"/>
      </rPr>
      <t>H.Ed</t>
    </r>
  </si>
  <si>
    <r>
      <t>V</t>
    </r>
    <r>
      <rPr>
        <vertAlign val="subscript"/>
        <sz val="12"/>
        <rFont val="Arial"/>
        <family val="2"/>
      </rPr>
      <t>Ed,z</t>
    </r>
    <r>
      <rPr>
        <sz val="12"/>
        <rFont val="Arial"/>
        <family val="2"/>
      </rPr>
      <t>/V</t>
    </r>
    <r>
      <rPr>
        <vertAlign val="subscript"/>
        <sz val="12"/>
        <rFont val="Arial"/>
        <family val="2"/>
      </rPr>
      <t>Pl.Rd.z</t>
    </r>
  </si>
  <si>
    <r>
      <t>V</t>
    </r>
    <r>
      <rPr>
        <vertAlign val="subscript"/>
        <sz val="12"/>
        <rFont val="Arial"/>
        <family val="2"/>
      </rPr>
      <t>Ed,y</t>
    </r>
    <r>
      <rPr>
        <sz val="12"/>
        <rFont val="Arial"/>
        <family val="2"/>
      </rPr>
      <t>/V</t>
    </r>
    <r>
      <rPr>
        <vertAlign val="subscript"/>
        <sz val="12"/>
        <rFont val="Arial"/>
        <family val="2"/>
      </rPr>
      <t>Pl.Rd.y</t>
    </r>
  </si>
  <si>
    <r>
      <t>M</t>
    </r>
    <r>
      <rPr>
        <vertAlign val="subscript"/>
        <sz val="12"/>
        <rFont val="Arial"/>
        <family val="2"/>
      </rPr>
      <t>Ed,y</t>
    </r>
    <r>
      <rPr>
        <sz val="12"/>
        <rFont val="Arial"/>
        <family val="2"/>
      </rPr>
      <t>/M</t>
    </r>
    <r>
      <rPr>
        <vertAlign val="subscript"/>
        <sz val="12"/>
        <rFont val="Arial"/>
        <family val="2"/>
      </rPr>
      <t>Pl.Rd.Red.y</t>
    </r>
  </si>
  <si>
    <r>
      <t>M</t>
    </r>
    <r>
      <rPr>
        <vertAlign val="subscript"/>
        <sz val="12"/>
        <rFont val="Arial"/>
        <family val="2"/>
      </rPr>
      <t>Ed,z</t>
    </r>
    <r>
      <rPr>
        <sz val="12"/>
        <rFont val="Arial"/>
        <family val="2"/>
      </rPr>
      <t>/M</t>
    </r>
    <r>
      <rPr>
        <vertAlign val="subscript"/>
        <sz val="12"/>
        <rFont val="Arial"/>
        <family val="2"/>
      </rPr>
      <t>Pl.Rd.Red.z</t>
    </r>
  </si>
  <si>
    <r>
      <rPr>
        <sz val="12"/>
        <rFont val="Arial"/>
        <family val="2"/>
      </rPr>
      <t>=F</t>
    </r>
    <r>
      <rPr>
        <vertAlign val="subscript"/>
        <sz val="12"/>
        <rFont val="Arial"/>
        <family val="2"/>
      </rPr>
      <t>V,Ed</t>
    </r>
    <r>
      <rPr>
        <sz val="12"/>
        <rFont val="Arial"/>
        <family val="2"/>
      </rPr>
      <t xml:space="preserve"> · (b*+a*)/b* </t>
    </r>
  </si>
  <si>
    <r>
      <rPr>
        <sz val="12"/>
        <rFont val="Arial"/>
        <family val="2"/>
      </rPr>
      <t>=F</t>
    </r>
    <r>
      <rPr>
        <vertAlign val="subscript"/>
        <sz val="12"/>
        <rFont val="Arial"/>
        <family val="2"/>
      </rPr>
      <t>V,Ed</t>
    </r>
    <r>
      <rPr>
        <sz val="12"/>
        <rFont val="Arial"/>
        <family val="2"/>
      </rPr>
      <t xml:space="preserve"> · a*/b* </t>
    </r>
  </si>
  <si>
    <r>
      <rPr>
        <sz val="12"/>
        <rFont val="Arial"/>
        <family val="2"/>
      </rPr>
      <t>=F</t>
    </r>
    <r>
      <rPr>
        <vertAlign val="subscript"/>
        <sz val="12"/>
        <rFont val="Arial"/>
        <family val="2"/>
      </rPr>
      <t>H,Ed</t>
    </r>
    <r>
      <rPr>
        <sz val="12"/>
        <rFont val="Arial"/>
        <family val="2"/>
      </rPr>
      <t xml:space="preserve"> · (b*+a*)/b* </t>
    </r>
  </si>
  <si>
    <r>
      <rPr>
        <sz val="12"/>
        <rFont val="Arial"/>
        <family val="2"/>
      </rPr>
      <t>=F</t>
    </r>
    <r>
      <rPr>
        <vertAlign val="subscript"/>
        <sz val="12"/>
        <rFont val="Arial"/>
        <family val="2"/>
      </rPr>
      <t>H,Ed</t>
    </r>
    <r>
      <rPr>
        <sz val="12"/>
        <rFont val="Arial"/>
        <family val="2"/>
      </rPr>
      <t xml:space="preserve"> · a*/b*</t>
    </r>
    <r>
      <rPr>
        <sz val="9"/>
        <rFont val="Arial"/>
        <family val="2"/>
      </rPr>
      <t xml:space="preserve"> </t>
    </r>
  </si>
  <si>
    <r>
      <rPr>
        <sz val="12"/>
        <rFont val="Arial"/>
        <family val="2"/>
      </rPr>
      <t>F</t>
    </r>
    <r>
      <rPr>
        <vertAlign val="subscript"/>
        <sz val="12"/>
        <rFont val="Arial"/>
        <family val="2"/>
      </rPr>
      <t xml:space="preserve">H,Ed </t>
    </r>
    <r>
      <rPr>
        <sz val="12"/>
        <rFont val="Arial"/>
        <family val="2"/>
      </rPr>
      <t>(2</t>
    </r>
    <r>
      <rPr>
        <vertAlign val="subscript"/>
        <sz val="12"/>
        <rFont val="Arial"/>
        <family val="2"/>
      </rPr>
      <t xml:space="preserve"> </t>
    </r>
    <r>
      <rPr>
        <sz val="12"/>
        <rFont val="Arial"/>
        <family val="2"/>
      </rPr>
      <t>· j)/(F</t>
    </r>
    <r>
      <rPr>
        <vertAlign val="subscript"/>
        <sz val="12"/>
        <rFont val="Arial"/>
        <family val="2"/>
      </rPr>
      <t>H,Ed</t>
    </r>
    <r>
      <rPr>
        <sz val="12"/>
        <rFont val="Arial"/>
        <family val="2"/>
      </rPr>
      <t xml:space="preserve"> +R</t>
    </r>
    <r>
      <rPr>
        <vertAlign val="subscript"/>
        <sz val="12"/>
        <rFont val="Arial"/>
        <family val="2"/>
      </rPr>
      <t>2.HORIZONTAL</t>
    </r>
    <r>
      <rPr>
        <sz val="12"/>
        <rFont val="Arial"/>
        <family val="2"/>
      </rPr>
      <t>)</t>
    </r>
  </si>
  <si>
    <r>
      <rPr>
        <sz val="12"/>
        <rFont val="Arial"/>
        <family val="2"/>
      </rPr>
      <t>=A</t>
    </r>
    <r>
      <rPr>
        <vertAlign val="subscript"/>
        <sz val="12"/>
        <rFont val="Arial"/>
        <family val="2"/>
      </rPr>
      <t>b</t>
    </r>
    <r>
      <rPr>
        <sz val="12"/>
        <rFont val="Arial"/>
        <family val="2"/>
      </rPr>
      <t>·h</t>
    </r>
    <r>
      <rPr>
        <vertAlign val="subscript"/>
        <sz val="12"/>
        <rFont val="Arial"/>
        <family val="2"/>
      </rPr>
      <t>b</t>
    </r>
    <r>
      <rPr>
        <sz val="12"/>
        <rFont val="Arial"/>
        <family val="2"/>
      </rPr>
      <t>/(w</t>
    </r>
    <r>
      <rPr>
        <vertAlign val="subscript"/>
        <sz val="12"/>
        <rFont val="Arial"/>
        <family val="2"/>
      </rPr>
      <t>b</t>
    </r>
    <r>
      <rPr>
        <sz val="12"/>
        <rFont val="Arial"/>
        <family val="2"/>
      </rPr>
      <t>+h</t>
    </r>
    <r>
      <rPr>
        <vertAlign val="subscript"/>
        <sz val="12"/>
        <rFont val="Arial"/>
        <family val="2"/>
      </rPr>
      <t>b</t>
    </r>
    <r>
      <rPr>
        <sz val="12"/>
        <rFont val="Arial"/>
        <family val="2"/>
      </rPr>
      <t>)</t>
    </r>
  </si>
  <si>
    <r>
      <t>=A</t>
    </r>
    <r>
      <rPr>
        <vertAlign val="subscript"/>
        <sz val="12"/>
        <rFont val="Arial"/>
        <family val="2"/>
      </rPr>
      <t>v.z</t>
    </r>
    <r>
      <rPr>
        <sz val="12"/>
        <rFont val="Arial"/>
        <family val="2"/>
      </rPr>
      <t>/(2·t</t>
    </r>
    <r>
      <rPr>
        <vertAlign val="subscript"/>
        <sz val="12"/>
        <rFont val="Arial"/>
        <family val="2"/>
      </rPr>
      <t>b</t>
    </r>
    <r>
      <rPr>
        <sz val="12"/>
        <rFont val="Arial"/>
        <family val="2"/>
      </rPr>
      <t>)</t>
    </r>
  </si>
  <si>
    <r>
      <t>= f</t>
    </r>
    <r>
      <rPr>
        <vertAlign val="subscript"/>
        <sz val="12"/>
        <rFont val="Arial"/>
        <family val="2"/>
      </rPr>
      <t>y</t>
    </r>
    <r>
      <rPr>
        <sz val="12"/>
        <rFont val="Arial"/>
        <family val="2"/>
      </rPr>
      <t>*(1-[2*V</t>
    </r>
    <r>
      <rPr>
        <vertAlign val="subscript"/>
        <sz val="12"/>
        <rFont val="Arial"/>
        <family val="2"/>
      </rPr>
      <t>Ed.z</t>
    </r>
    <r>
      <rPr>
        <sz val="12"/>
        <rFont val="Arial"/>
        <family val="2"/>
      </rPr>
      <t>/V</t>
    </r>
    <r>
      <rPr>
        <vertAlign val="subscript"/>
        <sz val="12"/>
        <rFont val="Arial"/>
        <family val="2"/>
      </rPr>
      <t>Pl.Rd.z</t>
    </r>
    <r>
      <rPr>
        <sz val="12"/>
        <rFont val="Arial"/>
        <family val="2"/>
      </rPr>
      <t>-1]</t>
    </r>
    <r>
      <rPr>
        <vertAlign val="superscript"/>
        <sz val="12"/>
        <rFont val="Arial"/>
        <family val="2"/>
      </rPr>
      <t xml:space="preserve">2 </t>
    </r>
    <r>
      <rPr>
        <sz val="12"/>
        <rFont val="Arial"/>
        <family val="2"/>
      </rPr>
      <t>)</t>
    </r>
  </si>
  <si>
    <r>
      <rPr>
        <sz val="12"/>
        <rFont val="Arial"/>
        <family val="2"/>
      </rPr>
      <t>=A</t>
    </r>
    <r>
      <rPr>
        <vertAlign val="subscript"/>
        <sz val="12"/>
        <rFont val="Arial"/>
        <family val="2"/>
      </rPr>
      <t>b</t>
    </r>
    <r>
      <rPr>
        <sz val="12"/>
        <rFont val="Arial"/>
        <family val="2"/>
      </rPr>
      <t>xw</t>
    </r>
    <r>
      <rPr>
        <vertAlign val="subscript"/>
        <sz val="12"/>
        <rFont val="Arial"/>
        <family val="2"/>
      </rPr>
      <t>b</t>
    </r>
    <r>
      <rPr>
        <sz val="12"/>
        <rFont val="Arial"/>
        <family val="2"/>
      </rPr>
      <t>/(w</t>
    </r>
    <r>
      <rPr>
        <vertAlign val="subscript"/>
        <sz val="12"/>
        <rFont val="Arial"/>
        <family val="2"/>
      </rPr>
      <t>b</t>
    </r>
    <r>
      <rPr>
        <sz val="12"/>
        <rFont val="Arial"/>
        <family val="2"/>
      </rPr>
      <t>+h</t>
    </r>
    <r>
      <rPr>
        <vertAlign val="subscript"/>
        <sz val="12"/>
        <rFont val="Arial"/>
        <family val="2"/>
      </rPr>
      <t>b</t>
    </r>
    <r>
      <rPr>
        <sz val="12"/>
        <rFont val="Arial"/>
        <family val="2"/>
      </rPr>
      <t>)</t>
    </r>
  </si>
  <si>
    <r>
      <rPr>
        <sz val="12"/>
        <rFont val="Arial"/>
        <family val="2"/>
      </rPr>
      <t>=t</t>
    </r>
    <r>
      <rPr>
        <vertAlign val="subscript"/>
        <sz val="12"/>
        <rFont val="Arial"/>
        <family val="2"/>
      </rPr>
      <t>b</t>
    </r>
    <r>
      <rPr>
        <sz val="12"/>
        <rFont val="Arial"/>
        <family val="2"/>
      </rPr>
      <t>·h</t>
    </r>
    <r>
      <rPr>
        <vertAlign val="subscript"/>
        <sz val="12"/>
        <rFont val="Arial"/>
        <family val="2"/>
      </rPr>
      <t>eff.y</t>
    </r>
    <r>
      <rPr>
        <sz val="12"/>
        <rFont val="Arial"/>
        <family val="2"/>
      </rPr>
      <t>·(f</t>
    </r>
    <r>
      <rPr>
        <vertAlign val="subscript"/>
        <sz val="12"/>
        <rFont val="Arial"/>
        <family val="2"/>
      </rPr>
      <t>y</t>
    </r>
    <r>
      <rPr>
        <sz val="12"/>
        <rFont val="Arial"/>
        <family val="2"/>
      </rPr>
      <t>-f</t>
    </r>
    <r>
      <rPr>
        <vertAlign val="subscript"/>
        <sz val="12"/>
        <rFont val="Arial"/>
        <family val="2"/>
      </rPr>
      <t>y,red.y</t>
    </r>
    <r>
      <rPr>
        <sz val="12"/>
        <rFont val="Arial"/>
        <family val="2"/>
      </rPr>
      <t>)·(h</t>
    </r>
    <r>
      <rPr>
        <vertAlign val="subscript"/>
        <sz val="12"/>
        <rFont val="Arial"/>
        <family val="2"/>
      </rPr>
      <t>b</t>
    </r>
    <r>
      <rPr>
        <sz val="12"/>
        <rFont val="Arial"/>
        <family val="2"/>
      </rPr>
      <t>-t</t>
    </r>
    <r>
      <rPr>
        <vertAlign val="subscript"/>
        <sz val="12"/>
        <rFont val="Arial"/>
        <family val="2"/>
      </rPr>
      <t>b</t>
    </r>
    <r>
      <rPr>
        <sz val="12"/>
        <rFont val="Arial"/>
        <family val="2"/>
      </rPr>
      <t>)/2·2</t>
    </r>
  </si>
  <si>
    <r>
      <t>=M</t>
    </r>
    <r>
      <rPr>
        <vertAlign val="subscript"/>
        <sz val="12"/>
        <rFont val="Arial"/>
        <family val="2"/>
      </rPr>
      <t>Pl.Rd.y</t>
    </r>
    <r>
      <rPr>
        <sz val="12"/>
        <rFont val="Arial"/>
        <family val="2"/>
      </rPr>
      <t>-</t>
    </r>
    <r>
      <rPr>
        <sz val="12"/>
        <rFont val="Symbol"/>
        <family val="1"/>
        <charset val="2"/>
      </rPr>
      <t>D</t>
    </r>
    <r>
      <rPr>
        <sz val="12"/>
        <rFont val="Arial"/>
        <family val="2"/>
      </rPr>
      <t>M</t>
    </r>
    <r>
      <rPr>
        <vertAlign val="subscript"/>
        <sz val="12"/>
        <rFont val="Arial"/>
        <family val="2"/>
      </rPr>
      <t xml:space="preserve">Pl.y.Reduction.fy.z </t>
    </r>
    <r>
      <rPr>
        <sz val="12"/>
        <rFont val="Arial"/>
        <family val="2"/>
      </rPr>
      <t xml:space="preserve">- </t>
    </r>
    <r>
      <rPr>
        <sz val="12"/>
        <rFont val="Symbol"/>
        <family val="1"/>
        <charset val="2"/>
      </rPr>
      <t>D</t>
    </r>
    <r>
      <rPr>
        <sz val="12"/>
        <rFont val="Arial"/>
        <family val="2"/>
      </rPr>
      <t>M</t>
    </r>
    <r>
      <rPr>
        <vertAlign val="subscript"/>
        <sz val="12"/>
        <rFont val="Arial"/>
        <family val="2"/>
      </rPr>
      <t>Pl.y.Reduction.fy.y</t>
    </r>
  </si>
  <si>
    <r>
      <rPr>
        <sz val="12"/>
        <rFont val="Arial"/>
        <family val="2"/>
      </rPr>
      <t>=1/4·t</t>
    </r>
    <r>
      <rPr>
        <vertAlign val="subscript"/>
        <sz val="12"/>
        <rFont val="Arial"/>
        <family val="2"/>
      </rPr>
      <t>b</t>
    </r>
    <r>
      <rPr>
        <sz val="12"/>
        <rFont val="Arial"/>
        <family val="2"/>
      </rPr>
      <t>·h</t>
    </r>
    <r>
      <rPr>
        <vertAlign val="subscript"/>
        <sz val="12"/>
        <rFont val="Arial"/>
        <family val="2"/>
      </rPr>
      <t>eff.y</t>
    </r>
    <r>
      <rPr>
        <vertAlign val="superscript"/>
        <sz val="12"/>
        <rFont val="Arial"/>
        <family val="2"/>
      </rPr>
      <t>2</t>
    </r>
    <r>
      <rPr>
        <sz val="12"/>
        <rFont val="Arial"/>
        <family val="2"/>
      </rPr>
      <t>·(f</t>
    </r>
    <r>
      <rPr>
        <vertAlign val="subscript"/>
        <sz val="12"/>
        <rFont val="Arial"/>
        <family val="2"/>
      </rPr>
      <t>y</t>
    </r>
    <r>
      <rPr>
        <sz val="12"/>
        <rFont val="Arial"/>
        <family val="2"/>
      </rPr>
      <t>-f</t>
    </r>
    <r>
      <rPr>
        <vertAlign val="subscript"/>
        <sz val="12"/>
        <rFont val="Arial"/>
        <family val="2"/>
      </rPr>
      <t>y,red.y</t>
    </r>
    <r>
      <rPr>
        <sz val="12"/>
        <rFont val="Arial"/>
        <family val="2"/>
      </rPr>
      <t>)·2</t>
    </r>
  </si>
  <si>
    <r>
      <rPr>
        <sz val="12"/>
        <rFont val="Arial"/>
        <family val="2"/>
      </rPr>
      <t>=M</t>
    </r>
    <r>
      <rPr>
        <vertAlign val="subscript"/>
        <sz val="12"/>
        <rFont val="Arial"/>
        <family val="2"/>
      </rPr>
      <t>Pl.Rd.z</t>
    </r>
    <r>
      <rPr>
        <sz val="12"/>
        <rFont val="Arial"/>
        <family val="2"/>
      </rPr>
      <t>-</t>
    </r>
    <r>
      <rPr>
        <sz val="12"/>
        <rFont val="Symbol"/>
        <family val="1"/>
        <charset val="2"/>
      </rPr>
      <t>D</t>
    </r>
    <r>
      <rPr>
        <sz val="12"/>
        <rFont val="Arial"/>
        <family val="2"/>
      </rPr>
      <t>M</t>
    </r>
    <r>
      <rPr>
        <vertAlign val="subscript"/>
        <sz val="12"/>
        <rFont val="Arial"/>
        <family val="2"/>
      </rPr>
      <t xml:space="preserve">Pl.z.Reduction.fy.z </t>
    </r>
    <r>
      <rPr>
        <sz val="12"/>
        <rFont val="Arial"/>
        <family val="2"/>
      </rPr>
      <t xml:space="preserve">- </t>
    </r>
    <r>
      <rPr>
        <sz val="12"/>
        <rFont val="Symbol"/>
        <family val="1"/>
        <charset val="2"/>
      </rPr>
      <t>D</t>
    </r>
    <r>
      <rPr>
        <sz val="12"/>
        <rFont val="Arial"/>
        <family val="2"/>
      </rPr>
      <t>M</t>
    </r>
    <r>
      <rPr>
        <vertAlign val="subscript"/>
        <sz val="12"/>
        <rFont val="Arial"/>
        <family val="2"/>
      </rPr>
      <t>Pl.z.Reduction.fy.y</t>
    </r>
  </si>
  <si>
    <r>
      <t>A</t>
    </r>
    <r>
      <rPr>
        <vertAlign val="subscript"/>
        <sz val="12"/>
        <color theme="1"/>
        <rFont val="Arial"/>
        <family val="2"/>
      </rPr>
      <t>b</t>
    </r>
  </si>
  <si>
    <r>
      <t>L</t>
    </r>
    <r>
      <rPr>
        <vertAlign val="subscript"/>
        <sz val="12"/>
        <color theme="1"/>
        <rFont val="Arial"/>
        <family val="2"/>
      </rPr>
      <t>b</t>
    </r>
  </si>
  <si>
    <r>
      <t>L</t>
    </r>
    <r>
      <rPr>
        <vertAlign val="subscript"/>
        <sz val="12"/>
        <color theme="1"/>
        <rFont val="Arial"/>
        <family val="2"/>
      </rPr>
      <t>Max</t>
    </r>
  </si>
  <si>
    <r>
      <t>h</t>
    </r>
    <r>
      <rPr>
        <vertAlign val="subscript"/>
        <sz val="12"/>
        <color theme="1"/>
        <rFont val="Arial"/>
        <family val="2"/>
      </rPr>
      <t>b</t>
    </r>
  </si>
  <si>
    <r>
      <t>w</t>
    </r>
    <r>
      <rPr>
        <vertAlign val="subscript"/>
        <sz val="12"/>
        <color theme="1"/>
        <rFont val="Arial"/>
        <family val="2"/>
      </rPr>
      <t>b</t>
    </r>
    <r>
      <rPr>
        <sz val="12"/>
        <color theme="1"/>
        <rFont val="Arial"/>
        <family val="2"/>
      </rPr>
      <t xml:space="preserve"> </t>
    </r>
  </si>
  <si>
    <r>
      <t>t</t>
    </r>
    <r>
      <rPr>
        <vertAlign val="subscript"/>
        <sz val="12"/>
        <color theme="1"/>
        <rFont val="Arial"/>
        <family val="2"/>
      </rPr>
      <t>b</t>
    </r>
  </si>
  <si>
    <r>
      <t>e</t>
    </r>
    <r>
      <rPr>
        <vertAlign val="subscript"/>
        <sz val="12"/>
        <rFont val="Arial"/>
        <family val="2"/>
      </rPr>
      <t>cantilever</t>
    </r>
  </si>
  <si>
    <r>
      <t>R</t>
    </r>
    <r>
      <rPr>
        <vertAlign val="subscript"/>
        <sz val="12"/>
        <rFont val="Arial"/>
        <family val="2"/>
      </rPr>
      <t>1,VERTICAL</t>
    </r>
  </si>
  <si>
    <r>
      <t>R</t>
    </r>
    <r>
      <rPr>
        <vertAlign val="subscript"/>
        <sz val="12"/>
        <rFont val="Arial"/>
        <family val="2"/>
      </rPr>
      <t>2,VERTICAL</t>
    </r>
  </si>
  <si>
    <r>
      <t>R</t>
    </r>
    <r>
      <rPr>
        <vertAlign val="subscript"/>
        <sz val="12"/>
        <rFont val="Arial"/>
        <family val="2"/>
      </rPr>
      <t>1,HORIZONTAL</t>
    </r>
  </si>
  <si>
    <r>
      <t>R</t>
    </r>
    <r>
      <rPr>
        <vertAlign val="subscript"/>
        <sz val="12"/>
        <rFont val="Arial"/>
        <family val="2"/>
      </rPr>
      <t>2,HORIZONTAL</t>
    </r>
  </si>
  <si>
    <r>
      <t>V</t>
    </r>
    <r>
      <rPr>
        <vertAlign val="subscript"/>
        <sz val="12"/>
        <rFont val="Arial"/>
        <family val="2"/>
      </rPr>
      <t>Ed,z</t>
    </r>
  </si>
  <si>
    <r>
      <t>M</t>
    </r>
    <r>
      <rPr>
        <vertAlign val="subscript"/>
        <sz val="12"/>
        <rFont val="Arial"/>
        <family val="2"/>
      </rPr>
      <t>Ed,y</t>
    </r>
  </si>
  <si>
    <r>
      <t>V</t>
    </r>
    <r>
      <rPr>
        <vertAlign val="subscript"/>
        <sz val="12"/>
        <rFont val="Arial"/>
        <family val="2"/>
      </rPr>
      <t>Ed,y</t>
    </r>
  </si>
  <si>
    <r>
      <t>M</t>
    </r>
    <r>
      <rPr>
        <vertAlign val="subscript"/>
        <sz val="12"/>
        <rFont val="Arial"/>
        <family val="2"/>
      </rPr>
      <t>Ed,z</t>
    </r>
  </si>
  <si>
    <r>
      <t>W</t>
    </r>
    <r>
      <rPr>
        <vertAlign val="subscript"/>
        <sz val="12"/>
        <rFont val="Arial"/>
        <family val="2"/>
      </rPr>
      <t>Pl.y</t>
    </r>
    <r>
      <rPr>
        <sz val="12"/>
        <rFont val="Arial"/>
        <family val="2"/>
      </rPr>
      <t xml:space="preserve"> </t>
    </r>
  </si>
  <si>
    <r>
      <t>A</t>
    </r>
    <r>
      <rPr>
        <vertAlign val="subscript"/>
        <sz val="12"/>
        <rFont val="Arial"/>
        <family val="2"/>
      </rPr>
      <t>v.z</t>
    </r>
    <r>
      <rPr>
        <sz val="11"/>
        <rFont val="Calibri"/>
        <family val="2"/>
      </rPr>
      <t xml:space="preserve"> </t>
    </r>
  </si>
  <si>
    <r>
      <t>V</t>
    </r>
    <r>
      <rPr>
        <vertAlign val="subscript"/>
        <sz val="12"/>
        <rFont val="Arial"/>
        <family val="2"/>
      </rPr>
      <t>Pl.Rd.z</t>
    </r>
  </si>
  <si>
    <r>
      <t>M</t>
    </r>
    <r>
      <rPr>
        <vertAlign val="subscript"/>
        <sz val="12"/>
        <rFont val="Arial"/>
        <family val="2"/>
      </rPr>
      <t>Pl.Rd.y</t>
    </r>
  </si>
  <si>
    <r>
      <t>h</t>
    </r>
    <r>
      <rPr>
        <vertAlign val="subscript"/>
        <sz val="12"/>
        <rFont val="Arial"/>
        <family val="2"/>
      </rPr>
      <t>eff.z</t>
    </r>
  </si>
  <si>
    <r>
      <t xml:space="preserve"> f</t>
    </r>
    <r>
      <rPr>
        <vertAlign val="subscript"/>
        <sz val="12"/>
        <rFont val="Arial"/>
        <family val="2"/>
      </rPr>
      <t>y.red.z</t>
    </r>
  </si>
  <si>
    <r>
      <t>W</t>
    </r>
    <r>
      <rPr>
        <vertAlign val="subscript"/>
        <sz val="12"/>
        <rFont val="Arial"/>
        <family val="2"/>
      </rPr>
      <t>Pl.z</t>
    </r>
  </si>
  <si>
    <r>
      <t>A</t>
    </r>
    <r>
      <rPr>
        <vertAlign val="subscript"/>
        <sz val="12"/>
        <rFont val="Arial"/>
        <family val="2"/>
      </rPr>
      <t>v.y</t>
    </r>
    <r>
      <rPr>
        <sz val="12"/>
        <rFont val="Arial"/>
        <family val="2"/>
      </rPr>
      <t xml:space="preserve">  </t>
    </r>
  </si>
  <si>
    <r>
      <t>V</t>
    </r>
    <r>
      <rPr>
        <vertAlign val="subscript"/>
        <sz val="12"/>
        <rFont val="Arial"/>
        <family val="2"/>
      </rPr>
      <t>Pl.Rd.y</t>
    </r>
  </si>
  <si>
    <r>
      <t>M</t>
    </r>
    <r>
      <rPr>
        <vertAlign val="subscript"/>
        <sz val="12"/>
        <rFont val="Arial"/>
        <family val="2"/>
      </rPr>
      <t>Pl.Rd.z</t>
    </r>
  </si>
  <si>
    <r>
      <t>h</t>
    </r>
    <r>
      <rPr>
        <vertAlign val="subscript"/>
        <sz val="12"/>
        <rFont val="Arial"/>
        <family val="2"/>
      </rPr>
      <t xml:space="preserve">eff.y </t>
    </r>
  </si>
  <si>
    <r>
      <t xml:space="preserve"> f</t>
    </r>
    <r>
      <rPr>
        <vertAlign val="subscript"/>
        <sz val="12"/>
        <rFont val="Arial"/>
        <family val="2"/>
      </rPr>
      <t>y.red.y</t>
    </r>
  </si>
  <si>
    <r>
      <t>M</t>
    </r>
    <r>
      <rPr>
        <b/>
        <vertAlign val="subscript"/>
        <sz val="12"/>
        <rFont val="Arial"/>
        <family val="2"/>
      </rPr>
      <t>Pl.Rd.Red.y</t>
    </r>
  </si>
  <si>
    <r>
      <t>M</t>
    </r>
    <r>
      <rPr>
        <b/>
        <vertAlign val="subscript"/>
        <sz val="12"/>
        <rFont val="Arial"/>
        <family val="2"/>
      </rPr>
      <t>Pl.Rd.Red.z</t>
    </r>
  </si>
  <si>
    <r>
      <rPr>
        <sz val="12"/>
        <rFont val="Symbol"/>
        <family val="1"/>
        <charset val="2"/>
      </rPr>
      <t>D</t>
    </r>
    <r>
      <rPr>
        <sz val="12"/>
        <rFont val="Arial"/>
        <family val="2"/>
      </rPr>
      <t>M</t>
    </r>
    <r>
      <rPr>
        <vertAlign val="subscript"/>
        <sz val="12"/>
        <rFont val="Arial"/>
        <family val="2"/>
      </rPr>
      <t>Pl.z.Reduction.fy.y</t>
    </r>
  </si>
  <si>
    <r>
      <rPr>
        <sz val="12"/>
        <rFont val="Symbol"/>
        <family val="1"/>
        <charset val="2"/>
      </rPr>
      <t>D</t>
    </r>
    <r>
      <rPr>
        <sz val="12"/>
        <rFont val="Arial"/>
        <family val="2"/>
      </rPr>
      <t>M</t>
    </r>
    <r>
      <rPr>
        <vertAlign val="subscript"/>
        <sz val="12"/>
        <rFont val="Arial"/>
        <family val="2"/>
      </rPr>
      <t>Pl.z.Reduction.fy.z</t>
    </r>
  </si>
  <si>
    <r>
      <rPr>
        <sz val="12"/>
        <rFont val="Symbol"/>
        <family val="1"/>
        <charset val="2"/>
      </rPr>
      <t>D</t>
    </r>
    <r>
      <rPr>
        <sz val="12"/>
        <rFont val="Arial"/>
        <family val="2"/>
      </rPr>
      <t>M</t>
    </r>
    <r>
      <rPr>
        <vertAlign val="subscript"/>
        <sz val="12"/>
        <rFont val="Arial"/>
        <family val="2"/>
      </rPr>
      <t>Pl.y.Reduction.fy.y</t>
    </r>
  </si>
  <si>
    <r>
      <t>=W</t>
    </r>
    <r>
      <rPr>
        <vertAlign val="subscript"/>
        <sz val="12"/>
        <rFont val="Arial"/>
        <family val="2"/>
      </rPr>
      <t>Pl.Y</t>
    </r>
    <r>
      <rPr>
        <sz val="12"/>
        <rFont val="Arial"/>
        <family val="2"/>
      </rPr>
      <t>·</t>
    </r>
    <r>
      <rPr>
        <sz val="11"/>
        <rFont val="Calibri"/>
        <family val="2"/>
        <scheme val="minor"/>
      </rPr>
      <t>f</t>
    </r>
    <r>
      <rPr>
        <vertAlign val="subscript"/>
        <sz val="11"/>
        <rFont val="Calibri"/>
        <family val="2"/>
        <scheme val="minor"/>
      </rPr>
      <t>y</t>
    </r>
    <r>
      <rPr>
        <sz val="11"/>
        <rFont val="Calibri"/>
        <family val="2"/>
        <scheme val="minor"/>
      </rPr>
      <t>/</t>
    </r>
    <r>
      <rPr>
        <sz val="12"/>
        <rFont val="Symbol"/>
        <family val="1"/>
        <charset val="2"/>
      </rPr>
      <t>g</t>
    </r>
    <r>
      <rPr>
        <vertAlign val="subscript"/>
        <sz val="12"/>
        <rFont val="Arial"/>
        <family val="2"/>
      </rPr>
      <t>M0</t>
    </r>
  </si>
  <si>
    <r>
      <t>=W</t>
    </r>
    <r>
      <rPr>
        <vertAlign val="subscript"/>
        <sz val="12"/>
        <rFont val="Arial"/>
        <family val="2"/>
      </rPr>
      <t>Pl.Z</t>
    </r>
    <r>
      <rPr>
        <sz val="11"/>
        <rFont val="Calibri"/>
        <family val="2"/>
        <scheme val="minor"/>
      </rPr>
      <t>·</t>
    </r>
    <r>
      <rPr>
        <sz val="12"/>
        <rFont val="Arial"/>
        <family val="2"/>
      </rPr>
      <t>f</t>
    </r>
    <r>
      <rPr>
        <vertAlign val="subscript"/>
        <sz val="12"/>
        <rFont val="Arial"/>
        <family val="2"/>
      </rPr>
      <t>y</t>
    </r>
    <r>
      <rPr>
        <sz val="11"/>
        <rFont val="Calibri"/>
        <family val="2"/>
        <scheme val="minor"/>
      </rPr>
      <t>/</t>
    </r>
    <r>
      <rPr>
        <sz val="11"/>
        <rFont val="Symbol"/>
        <family val="1"/>
        <charset val="2"/>
      </rPr>
      <t>g</t>
    </r>
    <r>
      <rPr>
        <vertAlign val="subscript"/>
        <sz val="12"/>
        <rFont val="Arial"/>
        <family val="2"/>
      </rPr>
      <t>M0</t>
    </r>
  </si>
  <si>
    <r>
      <t>= f</t>
    </r>
    <r>
      <rPr>
        <vertAlign val="subscript"/>
        <sz val="12"/>
        <rFont val="Arial"/>
        <family val="2"/>
      </rPr>
      <t>y</t>
    </r>
    <r>
      <rPr>
        <sz val="12"/>
        <rFont val="Arial"/>
        <family val="2"/>
      </rPr>
      <t>*(1-[2*V</t>
    </r>
    <r>
      <rPr>
        <vertAlign val="subscript"/>
        <sz val="12"/>
        <rFont val="Arial"/>
        <family val="2"/>
      </rPr>
      <t>Ed.y</t>
    </r>
    <r>
      <rPr>
        <sz val="12"/>
        <rFont val="Arial"/>
        <family val="2"/>
      </rPr>
      <t>/V</t>
    </r>
    <r>
      <rPr>
        <vertAlign val="subscript"/>
        <sz val="12"/>
        <rFont val="Arial"/>
        <family val="2"/>
      </rPr>
      <t>Pl.Rd.y</t>
    </r>
    <r>
      <rPr>
        <sz val="12"/>
        <rFont val="Arial"/>
        <family val="2"/>
      </rPr>
      <t>-1]</t>
    </r>
    <r>
      <rPr>
        <vertAlign val="superscript"/>
        <sz val="12"/>
        <rFont val="Arial"/>
        <family val="2"/>
      </rPr>
      <t xml:space="preserve">2 </t>
    </r>
    <r>
      <rPr>
        <sz val="12"/>
        <rFont val="Arial"/>
        <family val="2"/>
      </rPr>
      <t>)</t>
    </r>
  </si>
  <si>
    <r>
      <t>=1/4·t</t>
    </r>
    <r>
      <rPr>
        <vertAlign val="subscript"/>
        <sz val="12"/>
        <rFont val="Arial"/>
        <family val="2"/>
      </rPr>
      <t>b</t>
    </r>
    <r>
      <rPr>
        <sz val="12"/>
        <rFont val="Arial"/>
        <family val="2"/>
      </rPr>
      <t>·h</t>
    </r>
    <r>
      <rPr>
        <vertAlign val="subscript"/>
        <sz val="12"/>
        <rFont val="Arial"/>
        <family val="2"/>
      </rPr>
      <t>eff.z</t>
    </r>
    <r>
      <rPr>
        <vertAlign val="superscript"/>
        <sz val="12"/>
        <rFont val="Arial"/>
        <family val="2"/>
      </rPr>
      <t>2</t>
    </r>
    <r>
      <rPr>
        <sz val="12"/>
        <rFont val="Arial"/>
        <family val="2"/>
      </rPr>
      <t>·(f</t>
    </r>
    <r>
      <rPr>
        <vertAlign val="subscript"/>
        <sz val="12"/>
        <rFont val="Arial"/>
        <family val="2"/>
      </rPr>
      <t>y</t>
    </r>
    <r>
      <rPr>
        <sz val="12"/>
        <rFont val="Arial"/>
        <family val="2"/>
      </rPr>
      <t>-f</t>
    </r>
    <r>
      <rPr>
        <vertAlign val="subscript"/>
        <sz val="12"/>
        <rFont val="Arial"/>
        <family val="2"/>
      </rPr>
      <t>y,red.z</t>
    </r>
    <r>
      <rPr>
        <sz val="12"/>
        <rFont val="Arial"/>
        <family val="2"/>
      </rPr>
      <t>)·2</t>
    </r>
  </si>
  <si>
    <r>
      <t>=A</t>
    </r>
    <r>
      <rPr>
        <vertAlign val="subscript"/>
        <sz val="12"/>
        <rFont val="Arial"/>
        <family val="2"/>
      </rPr>
      <t>v.y</t>
    </r>
    <r>
      <rPr>
        <sz val="11"/>
        <rFont val="Calibri"/>
        <family val="2"/>
        <scheme val="minor"/>
      </rPr>
      <t>/(</t>
    </r>
    <r>
      <rPr>
        <sz val="12"/>
        <rFont val="Arial"/>
        <family val="2"/>
      </rPr>
      <t>2·t</t>
    </r>
    <r>
      <rPr>
        <vertAlign val="subscript"/>
        <sz val="12"/>
        <rFont val="Arial"/>
        <family val="2"/>
      </rPr>
      <t>b</t>
    </r>
    <r>
      <rPr>
        <sz val="11"/>
        <rFont val="Calibri"/>
        <family val="2"/>
        <scheme val="minor"/>
      </rPr>
      <t>)</t>
    </r>
  </si>
  <si>
    <r>
      <rPr>
        <i/>
        <sz val="12"/>
        <rFont val="Areial"/>
      </rPr>
      <t>Reduction in M</t>
    </r>
    <r>
      <rPr>
        <i/>
        <vertAlign val="subscript"/>
        <sz val="12"/>
        <rFont val="Areial"/>
      </rPr>
      <t>Rd.z</t>
    </r>
    <r>
      <rPr>
        <i/>
        <sz val="12"/>
        <rFont val="Areial"/>
      </rPr>
      <t xml:space="preserve"> due to f</t>
    </r>
    <r>
      <rPr>
        <i/>
        <vertAlign val="subscript"/>
        <sz val="12"/>
        <rFont val="Areial"/>
      </rPr>
      <t>y.red.y</t>
    </r>
  </si>
  <si>
    <r>
      <t>Reduction in M</t>
    </r>
    <r>
      <rPr>
        <i/>
        <vertAlign val="subscript"/>
        <sz val="12"/>
        <rFont val="Arial"/>
        <family val="2"/>
      </rPr>
      <t>Rd.z</t>
    </r>
    <r>
      <rPr>
        <i/>
        <sz val="12"/>
        <rFont val="Arial"/>
        <family val="2"/>
      </rPr>
      <t xml:space="preserve"> due to f</t>
    </r>
    <r>
      <rPr>
        <i/>
        <vertAlign val="subscript"/>
        <sz val="12"/>
        <rFont val="Arial"/>
        <family val="2"/>
      </rPr>
      <t>y.red.z</t>
    </r>
  </si>
  <si>
    <r>
      <rPr>
        <i/>
        <sz val="12"/>
        <rFont val="Arial"/>
        <family val="2"/>
      </rPr>
      <t>Reduction in M</t>
    </r>
    <r>
      <rPr>
        <vertAlign val="subscript"/>
        <sz val="12"/>
        <rFont val="Arial"/>
        <family val="2"/>
      </rPr>
      <t>Rd.y</t>
    </r>
    <r>
      <rPr>
        <sz val="12"/>
        <rFont val="Arial"/>
        <family val="2"/>
      </rPr>
      <t xml:space="preserve"> due to f</t>
    </r>
    <r>
      <rPr>
        <vertAlign val="subscript"/>
        <sz val="12"/>
        <rFont val="Arial"/>
        <family val="2"/>
      </rPr>
      <t>y.red.y</t>
    </r>
  </si>
  <si>
    <r>
      <t>Reduction in M</t>
    </r>
    <r>
      <rPr>
        <vertAlign val="subscript"/>
        <sz val="12"/>
        <rFont val="Arial"/>
        <family val="2"/>
      </rPr>
      <t>Rd.y</t>
    </r>
    <r>
      <rPr>
        <sz val="12"/>
        <rFont val="Arial"/>
        <family val="2"/>
      </rPr>
      <t xml:space="preserve"> due to f</t>
    </r>
    <r>
      <rPr>
        <vertAlign val="subscript"/>
        <sz val="12"/>
        <rFont val="Arial"/>
        <family val="2"/>
      </rPr>
      <t>y.red.z</t>
    </r>
  </si>
  <si>
    <t>ALS: Results for front insert with maximum load</t>
  </si>
  <si>
    <t>6) Simplified cross section control of front TSS 101 units in ALS for combined  vertical and horizontal load:</t>
  </si>
  <si>
    <t xml:space="preserve">                         Shall equal:</t>
  </si>
  <si>
    <t>2.1) Earthquake acceleration in positive x-direction</t>
  </si>
  <si>
    <t>2.2) Earthquake acceleration in negative x-direction</t>
  </si>
  <si>
    <t>3.1) Earthquake acceleration in positive y-direction</t>
  </si>
  <si>
    <t>3.2) Earthquake acceleration in negative y-direction</t>
  </si>
  <si>
    <t xml:space="preserve">4.1) Earthquake accelerations in positive  x- and y-direction  </t>
  </si>
  <si>
    <r>
      <t>arctan(C/D</t>
    </r>
    <r>
      <rPr>
        <vertAlign val="subscript"/>
        <sz val="12"/>
        <rFont val="Arial"/>
        <family val="2"/>
      </rPr>
      <t>ef</t>
    </r>
    <r>
      <rPr>
        <sz val="12"/>
        <rFont val="Arial"/>
        <family val="2"/>
      </rPr>
      <t>)=</t>
    </r>
  </si>
  <si>
    <r>
      <t>N=[sin(</t>
    </r>
    <r>
      <rPr>
        <sz val="12"/>
        <rFont val="Symbol"/>
        <family val="1"/>
        <charset val="2"/>
      </rPr>
      <t>a</t>
    </r>
    <r>
      <rPr>
        <sz val="12"/>
        <rFont val="Arial"/>
        <family val="2"/>
      </rPr>
      <t>) ∙ (C/D</t>
    </r>
    <r>
      <rPr>
        <vertAlign val="subscript"/>
        <sz val="12"/>
        <rFont val="Arial"/>
        <family val="2"/>
      </rPr>
      <t>ef</t>
    </r>
    <r>
      <rPr>
        <sz val="12"/>
        <rFont val="Arial"/>
        <family val="2"/>
      </rPr>
      <t>) +cos(</t>
    </r>
    <r>
      <rPr>
        <sz val="12"/>
        <rFont val="Symbol"/>
        <family val="1"/>
        <charset val="2"/>
      </rPr>
      <t>a</t>
    </r>
    <r>
      <rPr>
        <sz val="12"/>
        <rFont val="Arial"/>
        <family val="2"/>
      </rPr>
      <t>)] ∙ F</t>
    </r>
    <r>
      <rPr>
        <vertAlign val="subscript"/>
        <sz val="12"/>
        <rFont val="Arial"/>
        <family val="2"/>
      </rPr>
      <t>a</t>
    </r>
    <r>
      <rPr>
        <sz val="12"/>
        <rFont val="Arial"/>
        <family val="2"/>
      </rPr>
      <t>/2)</t>
    </r>
  </si>
  <si>
    <r>
      <t>dF/d</t>
    </r>
    <r>
      <rPr>
        <sz val="12"/>
        <rFont val="Symbol"/>
        <family val="1"/>
        <charset val="2"/>
      </rPr>
      <t>a</t>
    </r>
    <r>
      <rPr>
        <sz val="12"/>
        <rFont val="Arial"/>
        <family val="2"/>
      </rPr>
      <t xml:space="preserve">=0 -&gt; </t>
    </r>
    <r>
      <rPr>
        <sz val="12"/>
        <rFont val="Symbol"/>
        <family val="1"/>
        <charset val="2"/>
      </rPr>
      <t>a</t>
    </r>
    <r>
      <rPr>
        <vertAlign val="subscript"/>
        <sz val="12"/>
        <rFont val="Arial"/>
        <family val="2"/>
      </rPr>
      <t>max</t>
    </r>
    <r>
      <rPr>
        <sz val="12"/>
        <rFont val="Arial"/>
        <family val="2"/>
      </rPr>
      <t>=arctan(C/D</t>
    </r>
    <r>
      <rPr>
        <vertAlign val="subscript"/>
        <sz val="12"/>
        <rFont val="Arial"/>
        <family val="2"/>
      </rPr>
      <t>ef</t>
    </r>
    <r>
      <rPr>
        <sz val="12"/>
        <rFont val="Arial"/>
        <family val="2"/>
      </rPr>
      <t>)</t>
    </r>
  </si>
  <si>
    <r>
      <t>C and D</t>
    </r>
    <r>
      <rPr>
        <vertAlign val="subscript"/>
        <sz val="12"/>
        <rFont val="Arial"/>
        <family val="2"/>
      </rPr>
      <t>ef</t>
    </r>
    <r>
      <rPr>
        <sz val="12"/>
        <rFont val="Arial"/>
        <family val="2"/>
      </rPr>
      <t>: see Input.</t>
    </r>
  </si>
  <si>
    <r>
      <t>V</t>
    </r>
    <r>
      <rPr>
        <i/>
        <vertAlign val="subscript"/>
        <sz val="12"/>
        <rFont val="Arial"/>
        <family val="2"/>
      </rPr>
      <t>Edx</t>
    </r>
  </si>
  <si>
    <r>
      <t>V</t>
    </r>
    <r>
      <rPr>
        <i/>
        <vertAlign val="subscript"/>
        <sz val="12"/>
        <rFont val="Arial"/>
        <family val="2"/>
      </rPr>
      <t>Edy</t>
    </r>
  </si>
  <si>
    <r>
      <t>V</t>
    </r>
    <r>
      <rPr>
        <i/>
        <vertAlign val="subscript"/>
        <sz val="12"/>
        <rFont val="Arial"/>
        <family val="2"/>
      </rPr>
      <t>Edz</t>
    </r>
  </si>
  <si>
    <t xml:space="preserve">ALS: </t>
  </si>
  <si>
    <r>
      <rPr>
        <sz val="12"/>
        <rFont val="Symbol"/>
        <family val="1"/>
        <charset val="2"/>
      </rPr>
      <t>D</t>
    </r>
    <r>
      <rPr>
        <sz val="12"/>
        <rFont val="Calibri"/>
        <family val="2"/>
        <scheme val="minor"/>
      </rPr>
      <t>M</t>
    </r>
    <r>
      <rPr>
        <vertAlign val="subscript"/>
        <sz val="12"/>
        <rFont val="Arial"/>
        <family val="2"/>
      </rPr>
      <t>Pl.y.Reduction.fy.z</t>
    </r>
  </si>
  <si>
    <r>
      <t>F</t>
    </r>
    <r>
      <rPr>
        <vertAlign val="subscript"/>
        <sz val="12"/>
        <rFont val="Arial"/>
        <family val="2"/>
      </rPr>
      <t>ax</t>
    </r>
    <r>
      <rPr>
        <sz val="12"/>
        <rFont val="Arial"/>
        <family val="2"/>
      </rPr>
      <t xml:space="preserve"> = Q</t>
    </r>
    <r>
      <rPr>
        <vertAlign val="subscript"/>
        <sz val="12"/>
        <rFont val="Arial"/>
        <family val="2"/>
      </rPr>
      <t>Tot.One.Flight.ALS</t>
    </r>
    <r>
      <rPr>
        <sz val="12"/>
        <rFont val="Arial"/>
        <family val="2"/>
      </rPr>
      <t xml:space="preserve"> ∙ (a</t>
    </r>
    <r>
      <rPr>
        <vertAlign val="subscript"/>
        <sz val="12"/>
        <rFont val="Arial"/>
        <family val="2"/>
      </rPr>
      <t>x</t>
    </r>
    <r>
      <rPr>
        <sz val="12"/>
        <rFont val="Arial"/>
        <family val="2"/>
      </rPr>
      <t>/g</t>
    </r>
    <r>
      <rPr>
        <vertAlign val="subscript"/>
        <sz val="12"/>
        <rFont val="Arial"/>
        <family val="2"/>
      </rPr>
      <t>v</t>
    </r>
    <r>
      <rPr>
        <sz val="12"/>
        <rFont val="Arial"/>
        <family val="2"/>
      </rPr>
      <t>) =</t>
    </r>
  </si>
  <si>
    <r>
      <t>F</t>
    </r>
    <r>
      <rPr>
        <vertAlign val="subscript"/>
        <sz val="12"/>
        <rFont val="Arial"/>
        <family val="2"/>
      </rPr>
      <t>a</t>
    </r>
    <r>
      <rPr>
        <sz val="12"/>
        <rFont val="Arial"/>
        <family val="2"/>
      </rPr>
      <t xml:space="preserve"> = Q</t>
    </r>
    <r>
      <rPr>
        <vertAlign val="subscript"/>
        <sz val="12"/>
        <rFont val="Arial"/>
        <family val="2"/>
      </rPr>
      <t>Tot.One.Flight.ALS</t>
    </r>
    <r>
      <rPr>
        <sz val="12"/>
        <rFont val="Arial"/>
        <family val="2"/>
      </rPr>
      <t xml:space="preserve"> ∙ (a</t>
    </r>
    <r>
      <rPr>
        <vertAlign val="subscript"/>
        <sz val="12"/>
        <rFont val="Arial"/>
        <family val="2"/>
      </rPr>
      <t xml:space="preserve">d </t>
    </r>
    <r>
      <rPr>
        <sz val="12"/>
        <rFont val="Arial"/>
        <family val="2"/>
      </rPr>
      <t>/ g</t>
    </r>
    <r>
      <rPr>
        <vertAlign val="subscript"/>
        <sz val="12"/>
        <rFont val="Arial"/>
        <family val="2"/>
      </rPr>
      <t>v</t>
    </r>
    <r>
      <rPr>
        <sz val="12"/>
        <rFont val="Arial"/>
        <family val="2"/>
      </rPr>
      <t xml:space="preserve">) = </t>
    </r>
  </si>
  <si>
    <r>
      <t>Derivation of N</t>
    </r>
    <r>
      <rPr>
        <b/>
        <vertAlign val="subscript"/>
        <sz val="12"/>
        <rFont val="Arial"/>
        <family val="2"/>
      </rPr>
      <t>MAX</t>
    </r>
  </si>
  <si>
    <t>ULS:</t>
  </si>
  <si>
    <t>ALS (earthquake):</t>
  </si>
  <si>
    <t xml:space="preserve">Acceleration parallel to fligth: </t>
  </si>
  <si>
    <r>
      <t>(M</t>
    </r>
    <r>
      <rPr>
        <vertAlign val="subscript"/>
        <sz val="12"/>
        <rFont val="Arial"/>
        <family val="2"/>
      </rPr>
      <t>Ed,y</t>
    </r>
    <r>
      <rPr>
        <sz val="12"/>
        <rFont val="Arial"/>
        <family val="2"/>
      </rPr>
      <t>/M</t>
    </r>
    <r>
      <rPr>
        <vertAlign val="subscript"/>
        <sz val="12"/>
        <rFont val="Arial"/>
        <family val="2"/>
      </rPr>
      <t>Pl.Rd.Red.y</t>
    </r>
    <r>
      <rPr>
        <sz val="12"/>
        <rFont val="Arial"/>
        <family val="2"/>
      </rPr>
      <t>)</t>
    </r>
    <r>
      <rPr>
        <vertAlign val="superscript"/>
        <sz val="12"/>
        <rFont val="Arial"/>
        <family val="2"/>
      </rPr>
      <t>1,66</t>
    </r>
    <r>
      <rPr>
        <sz val="12"/>
        <rFont val="Arial"/>
        <family val="2"/>
      </rPr>
      <t xml:space="preserve"> + (M</t>
    </r>
    <r>
      <rPr>
        <vertAlign val="subscript"/>
        <sz val="12"/>
        <rFont val="Arial"/>
        <family val="2"/>
      </rPr>
      <t>Ed,z</t>
    </r>
    <r>
      <rPr>
        <sz val="12"/>
        <rFont val="Arial"/>
        <family val="2"/>
      </rPr>
      <t>/M</t>
    </r>
    <r>
      <rPr>
        <vertAlign val="subscript"/>
        <sz val="12"/>
        <rFont val="Arial"/>
        <family val="2"/>
      </rPr>
      <t>Pl.Rd.Red.z)</t>
    </r>
    <r>
      <rPr>
        <vertAlign val="superscript"/>
        <sz val="12"/>
        <rFont val="Arial"/>
        <family val="2"/>
      </rPr>
      <t>1,66</t>
    </r>
    <r>
      <rPr>
        <sz val="12"/>
        <rFont val="Arial"/>
        <family val="2"/>
      </rPr>
      <t xml:space="preserve"> </t>
    </r>
  </si>
  <si>
    <t>(Ch. 6.2.5/6.2.9)</t>
  </si>
  <si>
    <r>
      <t>=F</t>
    </r>
    <r>
      <rPr>
        <vertAlign val="subscript"/>
        <sz val="12"/>
        <rFont val="Arial"/>
        <family val="2"/>
      </rPr>
      <t xml:space="preserve">V,Ed </t>
    </r>
    <r>
      <rPr>
        <sz val="12"/>
        <rFont val="Arial"/>
        <family val="2"/>
      </rPr>
      <t>(2</t>
    </r>
    <r>
      <rPr>
        <vertAlign val="subscript"/>
        <sz val="12"/>
        <rFont val="Arial"/>
        <family val="2"/>
      </rPr>
      <t xml:space="preserve"> </t>
    </r>
    <r>
      <rPr>
        <sz val="12"/>
        <rFont val="Arial"/>
        <family val="2"/>
      </rPr>
      <t>· j*)/(F</t>
    </r>
    <r>
      <rPr>
        <vertAlign val="subscript"/>
        <sz val="12"/>
        <rFont val="Arial"/>
        <family val="2"/>
      </rPr>
      <t>V,Ed</t>
    </r>
    <r>
      <rPr>
        <sz val="12"/>
        <rFont val="Arial"/>
        <family val="2"/>
      </rPr>
      <t xml:space="preserve"> +R</t>
    </r>
    <r>
      <rPr>
        <vertAlign val="subscript"/>
        <sz val="12"/>
        <rFont val="Arial"/>
        <family val="2"/>
      </rPr>
      <t>2.VERTICAL</t>
    </r>
    <r>
      <rPr>
        <sz val="12"/>
        <rFont val="Arial"/>
        <family val="2"/>
      </rPr>
      <t>)</t>
    </r>
  </si>
  <si>
    <r>
      <t>=F</t>
    </r>
    <r>
      <rPr>
        <vertAlign val="subscript"/>
        <sz val="12"/>
        <rFont val="Arial"/>
        <family val="2"/>
      </rPr>
      <t xml:space="preserve">V,Ed </t>
    </r>
    <r>
      <rPr>
        <sz val="12"/>
        <rFont val="Arial"/>
        <family val="2"/>
      </rPr>
      <t>· (e</t>
    </r>
    <r>
      <rPr>
        <vertAlign val="subscript"/>
        <sz val="12"/>
        <rFont val="Arial"/>
        <family val="2"/>
      </rPr>
      <t>cantilever</t>
    </r>
    <r>
      <rPr>
        <sz val="12"/>
        <rFont val="Arial"/>
        <family val="2"/>
      </rPr>
      <t>+X)  -R</t>
    </r>
    <r>
      <rPr>
        <vertAlign val="subscript"/>
        <sz val="12"/>
        <rFont val="Arial"/>
        <family val="2"/>
      </rPr>
      <t>1,VERTICAL</t>
    </r>
    <r>
      <rPr>
        <sz val="12"/>
        <rFont val="Arial"/>
        <family val="2"/>
      </rPr>
      <t>/(2 ·j*) · X</t>
    </r>
    <r>
      <rPr>
        <vertAlign val="superscript"/>
        <sz val="12"/>
        <rFont val="Arial"/>
        <family val="2"/>
      </rPr>
      <t>2</t>
    </r>
    <r>
      <rPr>
        <sz val="12"/>
        <rFont val="Arial"/>
        <family val="2"/>
      </rPr>
      <t>/2</t>
    </r>
  </si>
  <si>
    <r>
      <t>F</t>
    </r>
    <r>
      <rPr>
        <vertAlign val="subscript"/>
        <sz val="12"/>
        <rFont val="Arial"/>
        <family val="2"/>
      </rPr>
      <t xml:space="preserve">H,Ed </t>
    </r>
    <r>
      <rPr>
        <sz val="12"/>
        <rFont val="Arial"/>
        <family val="2"/>
      </rPr>
      <t>· (e</t>
    </r>
    <r>
      <rPr>
        <vertAlign val="subscript"/>
        <sz val="12"/>
        <rFont val="Arial"/>
        <family val="2"/>
      </rPr>
      <t>cantilever</t>
    </r>
    <r>
      <rPr>
        <sz val="12"/>
        <rFont val="Arial"/>
        <family val="2"/>
      </rPr>
      <t>+X)  -R</t>
    </r>
    <r>
      <rPr>
        <vertAlign val="subscript"/>
        <sz val="12"/>
        <rFont val="Arial"/>
        <family val="2"/>
      </rPr>
      <t>1,HORIZONTAL</t>
    </r>
    <r>
      <rPr>
        <sz val="12"/>
        <rFont val="Arial"/>
        <family val="2"/>
      </rPr>
      <t>/(2j) · X</t>
    </r>
    <r>
      <rPr>
        <vertAlign val="superscript"/>
        <sz val="12"/>
        <rFont val="Arial"/>
        <family val="2"/>
      </rPr>
      <t>2</t>
    </r>
    <r>
      <rPr>
        <sz val="12"/>
        <rFont val="Arial"/>
        <family val="2"/>
      </rPr>
      <t>/2</t>
    </r>
  </si>
  <si>
    <t xml:space="preserve">Shear area  </t>
  </si>
  <si>
    <t>Clause 6.2.6.(2) f)</t>
  </si>
  <si>
    <t>Effective height of webs</t>
  </si>
  <si>
    <t xml:space="preserve">Effective height of webs </t>
  </si>
  <si>
    <r>
      <t>Position of  V=0 -&gt; M</t>
    </r>
    <r>
      <rPr>
        <i/>
        <vertAlign val="subscript"/>
        <sz val="12"/>
        <rFont val="Arial"/>
        <family val="2"/>
      </rPr>
      <t>max</t>
    </r>
  </si>
  <si>
    <r>
      <t>V</t>
    </r>
    <r>
      <rPr>
        <vertAlign val="subscript"/>
        <sz val="12"/>
        <rFont val="Arial"/>
        <family val="2"/>
      </rPr>
      <t>Ed,z</t>
    </r>
    <r>
      <rPr>
        <sz val="9"/>
        <rFont val="Arial"/>
        <family val="2"/>
      </rPr>
      <t>/</t>
    </r>
    <r>
      <rPr>
        <sz val="12"/>
        <rFont val="Arial"/>
        <family val="2"/>
      </rPr>
      <t>V</t>
    </r>
    <r>
      <rPr>
        <vertAlign val="subscript"/>
        <sz val="12"/>
        <rFont val="Arial"/>
        <family val="2"/>
      </rPr>
      <t>Pl.Rd.z</t>
    </r>
  </si>
  <si>
    <r>
      <t>V</t>
    </r>
    <r>
      <rPr>
        <vertAlign val="subscript"/>
        <sz val="12"/>
        <rFont val="Arial"/>
        <family val="2"/>
      </rPr>
      <t>Ed,y</t>
    </r>
    <r>
      <rPr>
        <sz val="9"/>
        <rFont val="Arial"/>
        <family val="2"/>
      </rPr>
      <t>/</t>
    </r>
    <r>
      <rPr>
        <sz val="12"/>
        <rFont val="Arial"/>
        <family val="2"/>
      </rPr>
      <t>V</t>
    </r>
    <r>
      <rPr>
        <vertAlign val="subscript"/>
        <sz val="12"/>
        <rFont val="Arial"/>
        <family val="2"/>
      </rPr>
      <t>Pl.Rd.y</t>
    </r>
  </si>
  <si>
    <r>
      <t>=t</t>
    </r>
    <r>
      <rPr>
        <vertAlign val="subscript"/>
        <sz val="12"/>
        <rFont val="Arial"/>
        <family val="2"/>
      </rPr>
      <t>b</t>
    </r>
    <r>
      <rPr>
        <sz val="12"/>
        <rFont val="Arial"/>
        <family val="2"/>
      </rPr>
      <t>·h</t>
    </r>
    <r>
      <rPr>
        <vertAlign val="subscript"/>
        <sz val="12"/>
        <rFont val="Arial"/>
        <family val="2"/>
      </rPr>
      <t>eff.z</t>
    </r>
    <r>
      <rPr>
        <sz val="12"/>
        <rFont val="Arial"/>
        <family val="2"/>
      </rPr>
      <t>·(f</t>
    </r>
    <r>
      <rPr>
        <vertAlign val="subscript"/>
        <sz val="12"/>
        <rFont val="Arial"/>
        <family val="2"/>
      </rPr>
      <t>y</t>
    </r>
    <r>
      <rPr>
        <sz val="12"/>
        <rFont val="Arial"/>
        <family val="2"/>
      </rPr>
      <t>-f</t>
    </r>
    <r>
      <rPr>
        <vertAlign val="subscript"/>
        <sz val="12"/>
        <rFont val="Arial"/>
        <family val="2"/>
      </rPr>
      <t>y,red.z</t>
    </r>
    <r>
      <rPr>
        <sz val="12"/>
        <rFont val="Arial"/>
        <family val="2"/>
      </rPr>
      <t>)·(w</t>
    </r>
    <r>
      <rPr>
        <vertAlign val="subscript"/>
        <sz val="12"/>
        <rFont val="Arial"/>
        <family val="2"/>
      </rPr>
      <t>b</t>
    </r>
    <r>
      <rPr>
        <sz val="12"/>
        <rFont val="Arial"/>
        <family val="2"/>
      </rPr>
      <t>-t</t>
    </r>
    <r>
      <rPr>
        <vertAlign val="subscript"/>
        <sz val="12"/>
        <rFont val="Arial"/>
        <family val="2"/>
      </rPr>
      <t>b</t>
    </r>
    <r>
      <rPr>
        <sz val="12"/>
        <rFont val="Arial"/>
        <family val="2"/>
      </rPr>
      <t>)/2·2</t>
    </r>
  </si>
  <si>
    <t>Own formula</t>
  </si>
  <si>
    <t>Acc. perpendicular to flight:</t>
  </si>
  <si>
    <t>Acc.parallel to flight:</t>
  </si>
  <si>
    <r>
      <t>Q</t>
    </r>
    <r>
      <rPr>
        <vertAlign val="subscript"/>
        <sz val="12"/>
        <rFont val="Arial"/>
        <family val="2"/>
      </rPr>
      <t>Tot.Flights.ULS</t>
    </r>
    <r>
      <rPr>
        <sz val="12"/>
        <rFont val="Arial"/>
        <family val="2"/>
      </rPr>
      <t>=Q</t>
    </r>
    <r>
      <rPr>
        <vertAlign val="subscript"/>
        <sz val="12"/>
        <rFont val="Arial"/>
        <family val="2"/>
      </rPr>
      <t>Tot.One.Flight.ULS</t>
    </r>
    <r>
      <rPr>
        <sz val="12"/>
        <rFont val="Arial"/>
        <family val="2"/>
      </rPr>
      <t>/2 ∙ 2=</t>
    </r>
  </si>
  <si>
    <r>
      <t>R</t>
    </r>
    <r>
      <rPr>
        <vertAlign val="subscript"/>
        <sz val="12"/>
        <rFont val="Arial"/>
        <family val="2"/>
      </rPr>
      <t>max.ULS</t>
    </r>
    <r>
      <rPr>
        <sz val="12"/>
        <rFont val="Arial"/>
        <family val="2"/>
      </rPr>
      <t>=Q</t>
    </r>
    <r>
      <rPr>
        <vertAlign val="subscript"/>
        <sz val="12"/>
        <rFont val="Arial"/>
        <family val="2"/>
      </rPr>
      <t>Tot.Flights.ULS</t>
    </r>
    <r>
      <rPr>
        <sz val="12"/>
        <rFont val="Arial"/>
        <family val="2"/>
      </rPr>
      <t>/2=</t>
    </r>
  </si>
  <si>
    <r>
      <rPr>
        <sz val="12"/>
        <rFont val="Arial"/>
        <family val="2"/>
      </rPr>
      <t>Q</t>
    </r>
    <r>
      <rPr>
        <vertAlign val="subscript"/>
        <sz val="12"/>
        <rFont val="Arial"/>
        <family val="2"/>
      </rPr>
      <t>Tot.Flights.ALS</t>
    </r>
    <r>
      <rPr>
        <sz val="12"/>
        <rFont val="Arial"/>
        <family val="2"/>
      </rPr>
      <t>=Q</t>
    </r>
    <r>
      <rPr>
        <vertAlign val="subscript"/>
        <sz val="12"/>
        <rFont val="Arial"/>
        <family val="2"/>
      </rPr>
      <t>Tot.One.Flight.ALS</t>
    </r>
    <r>
      <rPr>
        <sz val="12"/>
        <rFont val="Arial"/>
        <family val="2"/>
      </rPr>
      <t>/2 ∙ 2=</t>
    </r>
  </si>
  <si>
    <t>Force working 50mm from landing edge:</t>
  </si>
  <si>
    <r>
      <t>Q</t>
    </r>
    <r>
      <rPr>
        <vertAlign val="subscript"/>
        <sz val="12"/>
        <rFont val="Arial"/>
        <family val="2"/>
      </rPr>
      <t>Tot.Flight.ALS</t>
    </r>
    <r>
      <rPr>
        <sz val="12"/>
        <rFont val="Arial"/>
        <family val="2"/>
      </rPr>
      <t xml:space="preserve"> + Q</t>
    </r>
    <r>
      <rPr>
        <vertAlign val="subscript"/>
        <sz val="12"/>
        <rFont val="Arial"/>
        <family val="2"/>
      </rPr>
      <t>Tot.Landing.ALS</t>
    </r>
    <r>
      <rPr>
        <sz val="12"/>
        <rFont val="Arial"/>
        <family val="2"/>
      </rPr>
      <t xml:space="preserve"> =</t>
    </r>
  </si>
  <si>
    <r>
      <t>(Q</t>
    </r>
    <r>
      <rPr>
        <vertAlign val="subscript"/>
        <sz val="12"/>
        <rFont val="Arial"/>
        <family val="2"/>
      </rPr>
      <t>Tot.All.Inserts.Landing.ALS</t>
    </r>
    <r>
      <rPr>
        <sz val="12"/>
        <rFont val="Arial"/>
        <family val="2"/>
      </rPr>
      <t xml:space="preserve"> ∙ (a</t>
    </r>
    <r>
      <rPr>
        <vertAlign val="subscript"/>
        <sz val="12"/>
        <rFont val="Arial"/>
        <family val="2"/>
      </rPr>
      <t>d</t>
    </r>
    <r>
      <rPr>
        <sz val="12"/>
        <rFont val="Arial"/>
        <family val="2"/>
      </rPr>
      <t>/g</t>
    </r>
    <r>
      <rPr>
        <vertAlign val="subscript"/>
        <sz val="12"/>
        <rFont val="Arial"/>
        <family val="2"/>
      </rPr>
      <t>v</t>
    </r>
    <r>
      <rPr>
        <sz val="12"/>
        <rFont val="Arial"/>
        <family val="2"/>
      </rPr>
      <t>) /2 =</t>
    </r>
  </si>
  <si>
    <r>
      <t xml:space="preserve"> Q</t>
    </r>
    <r>
      <rPr>
        <vertAlign val="subscript"/>
        <sz val="12"/>
        <rFont val="Arial"/>
        <family val="2"/>
      </rPr>
      <t>Tot.All.Inserts.Landing.ALS</t>
    </r>
  </si>
  <si>
    <r>
      <t>=A</t>
    </r>
    <r>
      <rPr>
        <vertAlign val="subscript"/>
        <sz val="12"/>
        <rFont val="Arial"/>
        <family val="2"/>
      </rPr>
      <t>V.Z</t>
    </r>
    <r>
      <rPr>
        <sz val="12"/>
        <rFont val="Arial"/>
        <family val="2"/>
      </rPr>
      <t>·f</t>
    </r>
    <r>
      <rPr>
        <vertAlign val="subscript"/>
        <sz val="12"/>
        <rFont val="Arial"/>
        <family val="2"/>
      </rPr>
      <t>y</t>
    </r>
    <r>
      <rPr>
        <sz val="12"/>
        <rFont val="Arial"/>
        <family val="2"/>
      </rPr>
      <t>/(sqrt(3)·</t>
    </r>
    <r>
      <rPr>
        <sz val="12"/>
        <rFont val="Symbol"/>
        <family val="1"/>
        <charset val="2"/>
      </rPr>
      <t>g</t>
    </r>
    <r>
      <rPr>
        <vertAlign val="subscript"/>
        <sz val="12"/>
        <rFont val="Arial"/>
        <family val="2"/>
      </rPr>
      <t>M0</t>
    </r>
    <r>
      <rPr>
        <sz val="12"/>
        <rFont val="Arial"/>
        <family val="2"/>
      </rPr>
      <t>)</t>
    </r>
  </si>
  <si>
    <r>
      <t>=A</t>
    </r>
    <r>
      <rPr>
        <vertAlign val="subscript"/>
        <sz val="12"/>
        <rFont val="Arial"/>
        <family val="2"/>
      </rPr>
      <t>V.Y</t>
    </r>
    <r>
      <rPr>
        <sz val="11"/>
        <rFont val="Calibri"/>
        <family val="2"/>
        <scheme val="minor"/>
      </rPr>
      <t>·</t>
    </r>
    <r>
      <rPr>
        <sz val="12"/>
        <rFont val="Arial"/>
        <family val="2"/>
      </rPr>
      <t>f</t>
    </r>
    <r>
      <rPr>
        <vertAlign val="subscript"/>
        <sz val="11"/>
        <rFont val="Calibri"/>
        <family val="2"/>
        <scheme val="minor"/>
      </rPr>
      <t>y</t>
    </r>
    <r>
      <rPr>
        <sz val="12"/>
        <rFont val="Calibri"/>
        <family val="2"/>
        <scheme val="minor"/>
      </rPr>
      <t>/(</t>
    </r>
    <r>
      <rPr>
        <sz val="12"/>
        <rFont val="Arial"/>
        <family val="2"/>
      </rPr>
      <t>sqrt(3)</t>
    </r>
    <r>
      <rPr>
        <sz val="12"/>
        <rFont val="Calibri"/>
        <family val="2"/>
        <scheme val="minor"/>
      </rPr>
      <t>·</t>
    </r>
    <r>
      <rPr>
        <sz val="12"/>
        <rFont val="Symbol"/>
        <family val="1"/>
        <charset val="2"/>
      </rPr>
      <t>g</t>
    </r>
    <r>
      <rPr>
        <vertAlign val="subscript"/>
        <sz val="12"/>
        <rFont val="Arial"/>
        <family val="2"/>
      </rPr>
      <t>M0</t>
    </r>
    <r>
      <rPr>
        <sz val="12"/>
        <rFont val="Calibri"/>
        <family val="2"/>
        <scheme val="minor"/>
      </rPr>
      <t>)</t>
    </r>
  </si>
  <si>
    <t>Temporary condition ULS  - Control of uplift at rear insert.  Assume minimum load on landing, but maximum load on flight:</t>
  </si>
  <si>
    <r>
      <t>R</t>
    </r>
    <r>
      <rPr>
        <vertAlign val="subscript"/>
        <sz val="12"/>
        <rFont val="Arial"/>
        <family val="2"/>
      </rPr>
      <t>max.ALS</t>
    </r>
    <r>
      <rPr>
        <sz val="12"/>
        <rFont val="Arial"/>
        <family val="2"/>
      </rPr>
      <t>=</t>
    </r>
  </si>
  <si>
    <r>
      <t>Q</t>
    </r>
    <r>
      <rPr>
        <vertAlign val="subscript"/>
        <sz val="12"/>
        <rFont val="Arial"/>
        <family val="2"/>
      </rPr>
      <t>Tot.Flights.ALS.Fax</t>
    </r>
    <r>
      <rPr>
        <sz val="12"/>
        <rFont val="Arial"/>
        <family val="2"/>
      </rPr>
      <t>=V</t>
    </r>
    <r>
      <rPr>
        <vertAlign val="subscript"/>
        <sz val="12"/>
        <rFont val="Arial"/>
        <family val="2"/>
      </rPr>
      <t>Ed1z.ax</t>
    </r>
    <r>
      <rPr>
        <sz val="12"/>
        <rFont val="Arial"/>
        <family val="2"/>
      </rPr>
      <t xml:space="preserve"> + V</t>
    </r>
    <r>
      <rPr>
        <vertAlign val="subscript"/>
        <sz val="12"/>
        <rFont val="Arial"/>
        <family val="2"/>
      </rPr>
      <t>Ed2z.ax</t>
    </r>
    <r>
      <rPr>
        <sz val="12"/>
        <rFont val="Arial"/>
        <family val="2"/>
      </rPr>
      <t xml:space="preserve"> +V</t>
    </r>
    <r>
      <rPr>
        <vertAlign val="subscript"/>
        <sz val="12"/>
        <rFont val="Arial"/>
        <family val="2"/>
      </rPr>
      <t>Ed3z.ax</t>
    </r>
    <r>
      <rPr>
        <sz val="12"/>
        <rFont val="Arial"/>
        <family val="2"/>
      </rPr>
      <t xml:space="preserve"> + V</t>
    </r>
    <r>
      <rPr>
        <vertAlign val="subscript"/>
        <sz val="12"/>
        <rFont val="Arial"/>
        <family val="2"/>
      </rPr>
      <t>Ed4z.ax</t>
    </r>
    <r>
      <rPr>
        <sz val="12"/>
        <rFont val="Arial"/>
        <family val="2"/>
      </rPr>
      <t>=</t>
    </r>
  </si>
  <si>
    <r>
      <t>Q</t>
    </r>
    <r>
      <rPr>
        <vertAlign val="subscript"/>
        <sz val="12"/>
        <rFont val="Arial"/>
        <family val="2"/>
      </rPr>
      <t>Tot.Flights.ALS.Fay</t>
    </r>
    <r>
      <rPr>
        <sz val="12"/>
        <rFont val="Arial"/>
        <family val="2"/>
      </rPr>
      <t>=V</t>
    </r>
    <r>
      <rPr>
        <vertAlign val="subscript"/>
        <sz val="12"/>
        <rFont val="Arial"/>
        <family val="2"/>
      </rPr>
      <t>Ed1z.ay</t>
    </r>
    <r>
      <rPr>
        <sz val="12"/>
        <rFont val="Arial"/>
        <family val="2"/>
      </rPr>
      <t xml:space="preserve"> + V</t>
    </r>
    <r>
      <rPr>
        <vertAlign val="subscript"/>
        <sz val="12"/>
        <rFont val="Arial"/>
        <family val="2"/>
      </rPr>
      <t>Ed2z.ay</t>
    </r>
    <r>
      <rPr>
        <sz val="12"/>
        <rFont val="Arial"/>
        <family val="2"/>
      </rPr>
      <t xml:space="preserve"> +V</t>
    </r>
    <r>
      <rPr>
        <vertAlign val="subscript"/>
        <sz val="12"/>
        <rFont val="Arial"/>
        <family val="2"/>
      </rPr>
      <t>Ed3z.ay</t>
    </r>
    <r>
      <rPr>
        <sz val="12"/>
        <rFont val="Arial"/>
        <family val="2"/>
      </rPr>
      <t xml:space="preserve"> +V</t>
    </r>
    <r>
      <rPr>
        <vertAlign val="subscript"/>
        <sz val="12"/>
        <rFont val="Arial"/>
        <family val="2"/>
      </rPr>
      <t>Ed4z.ay</t>
    </r>
    <r>
      <rPr>
        <sz val="12"/>
        <rFont val="Arial"/>
        <family val="2"/>
      </rPr>
      <t>=</t>
    </r>
  </si>
  <si>
    <r>
      <t>R</t>
    </r>
    <r>
      <rPr>
        <vertAlign val="subscript"/>
        <sz val="12"/>
        <rFont val="Arial"/>
        <family val="2"/>
      </rPr>
      <t xml:space="preserve">ay </t>
    </r>
    <r>
      <rPr>
        <sz val="12"/>
        <rFont val="Arial"/>
        <family val="2"/>
      </rPr>
      <t>=[V</t>
    </r>
    <r>
      <rPr>
        <vertAlign val="subscript"/>
        <sz val="12"/>
        <rFont val="Arial"/>
        <family val="2"/>
      </rPr>
      <t>Ed3z.ay</t>
    </r>
    <r>
      <rPr>
        <sz val="12"/>
        <rFont val="Arial"/>
        <family val="2"/>
      </rPr>
      <t xml:space="preserve"> ∙ K +V</t>
    </r>
    <r>
      <rPr>
        <vertAlign val="subscript"/>
        <sz val="12"/>
        <rFont val="Arial"/>
        <family val="2"/>
      </rPr>
      <t>Ed4z.ay</t>
    </r>
    <r>
      <rPr>
        <sz val="12"/>
        <rFont val="Arial"/>
        <family val="2"/>
      </rPr>
      <t xml:space="preserve"> ∙ (D-K)+V</t>
    </r>
    <r>
      <rPr>
        <vertAlign val="subscript"/>
        <sz val="12"/>
        <rFont val="Arial"/>
        <family val="2"/>
      </rPr>
      <t>Ed1z.ay</t>
    </r>
    <r>
      <rPr>
        <sz val="12"/>
        <rFont val="Arial"/>
        <family val="2"/>
      </rPr>
      <t xml:space="preserve"> ∙ (A-D+K)+V</t>
    </r>
    <r>
      <rPr>
        <vertAlign val="subscript"/>
        <sz val="12"/>
        <rFont val="Arial"/>
        <family val="2"/>
      </rPr>
      <t>Ed2z.ay</t>
    </r>
    <r>
      <rPr>
        <sz val="12"/>
        <rFont val="Arial"/>
        <family val="2"/>
      </rPr>
      <t xml:space="preserve"> ∙ (A-K)]/A =</t>
    </r>
  </si>
  <si>
    <t>Calculating load on most loaded half of landing. See figure above.</t>
  </si>
  <si>
    <r>
      <t>R</t>
    </r>
    <r>
      <rPr>
        <vertAlign val="subscript"/>
        <sz val="12"/>
        <rFont val="Arial"/>
        <family val="2"/>
      </rPr>
      <t xml:space="preserve">ax </t>
    </r>
    <r>
      <rPr>
        <sz val="12"/>
        <rFont val="Arial"/>
        <family val="2"/>
      </rPr>
      <t>=[V</t>
    </r>
    <r>
      <rPr>
        <vertAlign val="subscript"/>
        <sz val="12"/>
        <rFont val="Arial"/>
        <family val="2"/>
      </rPr>
      <t>Ed3z.ax</t>
    </r>
    <r>
      <rPr>
        <sz val="12"/>
        <rFont val="Arial"/>
        <family val="2"/>
      </rPr>
      <t xml:space="preserve"> ∙ K +V</t>
    </r>
    <r>
      <rPr>
        <vertAlign val="subscript"/>
        <sz val="12"/>
        <rFont val="Arial"/>
        <family val="2"/>
      </rPr>
      <t>Ed4z.ax</t>
    </r>
    <r>
      <rPr>
        <sz val="12"/>
        <rFont val="Arial"/>
        <family val="2"/>
      </rPr>
      <t xml:space="preserve"> ∙ (D-K)+V</t>
    </r>
    <r>
      <rPr>
        <vertAlign val="subscript"/>
        <sz val="12"/>
        <rFont val="Arial"/>
        <family val="2"/>
      </rPr>
      <t>Ed1z.ax</t>
    </r>
    <r>
      <rPr>
        <sz val="12"/>
        <rFont val="Arial"/>
        <family val="2"/>
      </rPr>
      <t xml:space="preserve"> ∙ (A-D+K)+V</t>
    </r>
    <r>
      <rPr>
        <vertAlign val="subscript"/>
        <sz val="12"/>
        <rFont val="Arial"/>
        <family val="2"/>
      </rPr>
      <t>Ed2z.ax</t>
    </r>
    <r>
      <rPr>
        <sz val="12"/>
        <rFont val="Arial"/>
        <family val="2"/>
      </rPr>
      <t xml:space="preserve"> ∙ (A-K)]/A =</t>
    </r>
  </si>
  <si>
    <r>
      <t>F</t>
    </r>
    <r>
      <rPr>
        <vertAlign val="subscript"/>
        <sz val="12"/>
        <rFont val="Arial"/>
        <family val="2"/>
      </rPr>
      <t>Rear.ALS.Landing</t>
    </r>
    <r>
      <rPr>
        <sz val="12"/>
        <rFont val="Arial"/>
        <family val="2"/>
      </rPr>
      <t xml:space="preserve"> = </t>
    </r>
  </si>
  <si>
    <r>
      <t>F</t>
    </r>
    <r>
      <rPr>
        <vertAlign val="subscript"/>
        <sz val="12"/>
        <rFont val="Arial"/>
        <family val="2"/>
      </rPr>
      <t>Front.ALS.Landing</t>
    </r>
    <r>
      <rPr>
        <sz val="12"/>
        <rFont val="Arial"/>
        <family val="2"/>
      </rPr>
      <t xml:space="preserve"> = </t>
    </r>
  </si>
  <si>
    <r>
      <t>F</t>
    </r>
    <r>
      <rPr>
        <vertAlign val="subscript"/>
        <sz val="12"/>
        <rFont val="Arial"/>
        <family val="2"/>
      </rPr>
      <t>Front.ALS.Flight</t>
    </r>
    <r>
      <rPr>
        <sz val="12"/>
        <rFont val="Arial"/>
        <family val="2"/>
      </rPr>
      <t xml:space="preserve"> = </t>
    </r>
  </si>
  <si>
    <r>
      <t>F</t>
    </r>
    <r>
      <rPr>
        <vertAlign val="subscript"/>
        <sz val="12"/>
        <rFont val="Arial"/>
        <family val="2"/>
      </rPr>
      <t>Rear.ALS.Flight</t>
    </r>
    <r>
      <rPr>
        <sz val="12"/>
        <rFont val="Arial"/>
        <family val="2"/>
      </rPr>
      <t xml:space="preserve">= </t>
    </r>
  </si>
  <si>
    <r>
      <t>F</t>
    </r>
    <r>
      <rPr>
        <vertAlign val="subscript"/>
        <sz val="12"/>
        <rFont val="Arial"/>
        <family val="2"/>
      </rPr>
      <t>Front.ULS.Flight</t>
    </r>
    <r>
      <rPr>
        <sz val="12"/>
        <rFont val="Arial"/>
        <family val="2"/>
      </rPr>
      <t xml:space="preserve"> = </t>
    </r>
  </si>
  <si>
    <r>
      <t>F</t>
    </r>
    <r>
      <rPr>
        <vertAlign val="subscript"/>
        <sz val="12"/>
        <rFont val="Arial"/>
        <family val="2"/>
      </rPr>
      <t>Rear.ULS.Flight</t>
    </r>
    <r>
      <rPr>
        <sz val="12"/>
        <rFont val="Arial"/>
        <family val="2"/>
      </rPr>
      <t xml:space="preserve"> = </t>
    </r>
  </si>
  <si>
    <r>
      <t>F</t>
    </r>
    <r>
      <rPr>
        <vertAlign val="subscript"/>
        <sz val="12"/>
        <rFont val="Arial"/>
        <family val="2"/>
      </rPr>
      <t>Front.ULS.Landing</t>
    </r>
    <r>
      <rPr>
        <sz val="12"/>
        <rFont val="Arial"/>
        <family val="2"/>
      </rPr>
      <t xml:space="preserve"> = </t>
    </r>
  </si>
  <si>
    <r>
      <t>F</t>
    </r>
    <r>
      <rPr>
        <vertAlign val="subscript"/>
        <sz val="12"/>
        <rFont val="Arial"/>
        <family val="2"/>
      </rPr>
      <t>Rear.ULS.Landing</t>
    </r>
    <r>
      <rPr>
        <sz val="12"/>
        <rFont val="Arial"/>
        <family val="2"/>
      </rPr>
      <t xml:space="preserve"> = </t>
    </r>
  </si>
  <si>
    <r>
      <t xml:space="preserve">             F</t>
    </r>
    <r>
      <rPr>
        <vertAlign val="subscript"/>
        <sz val="12"/>
        <rFont val="Arial"/>
        <family val="2"/>
      </rPr>
      <t xml:space="preserve">Rear.ALS.Flight </t>
    </r>
    <r>
      <rPr>
        <sz val="12"/>
        <rFont val="Arial"/>
        <family val="2"/>
      </rPr>
      <t xml:space="preserve">  </t>
    </r>
  </si>
  <si>
    <r>
      <t xml:space="preserve">       F</t>
    </r>
    <r>
      <rPr>
        <vertAlign val="subscript"/>
        <sz val="12"/>
        <rFont val="Arial"/>
        <family val="2"/>
      </rPr>
      <t xml:space="preserve">Front.ULS.Flight </t>
    </r>
  </si>
  <si>
    <r>
      <t xml:space="preserve">             F</t>
    </r>
    <r>
      <rPr>
        <vertAlign val="subscript"/>
        <sz val="12"/>
        <rFont val="Arial"/>
        <family val="2"/>
      </rPr>
      <t xml:space="preserve">Rear.ULS.Flight </t>
    </r>
    <r>
      <rPr>
        <sz val="12"/>
        <rFont val="Arial"/>
        <family val="2"/>
      </rPr>
      <t xml:space="preserve">  </t>
    </r>
  </si>
  <si>
    <r>
      <t xml:space="preserve">              F</t>
    </r>
    <r>
      <rPr>
        <vertAlign val="subscript"/>
        <sz val="12"/>
        <rFont val="Arial"/>
        <family val="2"/>
      </rPr>
      <t xml:space="preserve">Front.ALS.Flight  </t>
    </r>
  </si>
  <si>
    <r>
      <t xml:space="preserve">              F</t>
    </r>
    <r>
      <rPr>
        <vertAlign val="subscript"/>
        <sz val="12"/>
        <rFont val="Arial"/>
        <family val="2"/>
      </rPr>
      <t>Front.ALS.Landing</t>
    </r>
  </si>
  <si>
    <r>
      <t xml:space="preserve">             F</t>
    </r>
    <r>
      <rPr>
        <vertAlign val="subscript"/>
        <sz val="12"/>
        <color theme="1"/>
        <rFont val="Arial"/>
        <family val="2"/>
      </rPr>
      <t xml:space="preserve">Rear.ULS.Landing </t>
    </r>
    <r>
      <rPr>
        <sz val="12"/>
        <color theme="1"/>
        <rFont val="Arial"/>
        <family val="2"/>
      </rPr>
      <t xml:space="preserve">  </t>
    </r>
  </si>
  <si>
    <r>
      <t xml:space="preserve">              F</t>
    </r>
    <r>
      <rPr>
        <vertAlign val="subscript"/>
        <sz val="12"/>
        <rFont val="Arial"/>
        <family val="2"/>
      </rPr>
      <t>Front.ULS.Landing</t>
    </r>
  </si>
  <si>
    <r>
      <t xml:space="preserve">             F</t>
    </r>
    <r>
      <rPr>
        <vertAlign val="subscript"/>
        <sz val="12"/>
        <color theme="1"/>
        <rFont val="Arial"/>
        <family val="2"/>
      </rPr>
      <t xml:space="preserve">Rear.ALS.Landing </t>
    </r>
    <r>
      <rPr>
        <sz val="12"/>
        <color theme="1"/>
        <rFont val="Arial"/>
        <family val="2"/>
      </rPr>
      <t xml:space="preserve">  </t>
    </r>
  </si>
  <si>
    <t>Vertical load on rear inserts in landing - from self weight of landing  (calculated by scaling of load)</t>
  </si>
  <si>
    <r>
      <t xml:space="preserve"> (F</t>
    </r>
    <r>
      <rPr>
        <vertAlign val="subscript"/>
        <sz val="12"/>
        <rFont val="Arial"/>
        <family val="2"/>
      </rPr>
      <t>Front.ALS.Flight</t>
    </r>
    <r>
      <rPr>
        <sz val="12"/>
        <rFont val="Arial"/>
        <family val="2"/>
      </rPr>
      <t xml:space="preserve"> + F</t>
    </r>
    <r>
      <rPr>
        <vertAlign val="subscript"/>
        <sz val="12"/>
        <rFont val="Arial"/>
        <family val="2"/>
      </rPr>
      <t>Front.ALS.Landing</t>
    </r>
    <r>
      <rPr>
        <sz val="12"/>
        <rFont val="Arial"/>
        <family val="2"/>
      </rPr>
      <t>) =</t>
    </r>
  </si>
  <si>
    <t>Vertical load on rear inserts - ULS load on landing</t>
  </si>
  <si>
    <t>Revision</t>
  </si>
  <si>
    <t>1.0</t>
  </si>
  <si>
    <t>First edition</t>
  </si>
  <si>
    <t>Updated calculation of forces on landing connection from load on landing itself (earlier assumed equally distributed onto 4supports). Formulas in accordance wiht spreadsheeet TSS&amp;RVK  version 1.2 - Release date 08.05.2020</t>
  </si>
  <si>
    <t>1.1</t>
  </si>
  <si>
    <t>Comments</t>
  </si>
  <si>
    <t xml:space="preserve">5.1) Vertical load on landing from flights. </t>
  </si>
  <si>
    <t xml:space="preserve">- Static vertical loads on landing from flights: </t>
  </si>
  <si>
    <t>- Dynamic vertical load on landing from flights - maximum:</t>
  </si>
  <si>
    <t xml:space="preserve">- Load on landing connnections from flight alone. By moments about rear inserts. </t>
  </si>
  <si>
    <t xml:space="preserve">- Load on landing connnections from landing alone. By moments about rear inserts. </t>
  </si>
  <si>
    <t>MAXIMUM LOAD ON INSERTS IN LANDING</t>
  </si>
  <si>
    <t>Vertical load on each of the two rear inserts</t>
  </si>
  <si>
    <t>Vertical load on each of the two front inserts</t>
  </si>
  <si>
    <t xml:space="preserve">Temporary: 
Net vertical load on each of the two rear inserts when live load only on flight. </t>
  </si>
  <si>
    <t>5.3) Summary - Load on inserts in landing:</t>
  </si>
  <si>
    <t>5.2) Equilibrium of one half of landing and one flight.</t>
  </si>
  <si>
    <t>1.2</t>
  </si>
  <si>
    <t xml:space="preserve">Updated illustrations according to selected solution with rebars in connection between stair and landing. Minor updates in some of the warning notes </t>
  </si>
  <si>
    <t>Dist from landing edge to
flight point load (TSS 25 L)</t>
  </si>
  <si>
    <t>Vertical load on each of the two inserts</t>
  </si>
  <si>
    <t>MAXIMUM LOAD ON TSS 25 L INSERTS IN TOP OF FLIGHT.</t>
  </si>
  <si>
    <t xml:space="preserve">FLIGHT CONNECTIONS (TSS 25 L and reinforced joints) </t>
  </si>
  <si>
    <t>(Assuming 25% of total flight load on each of the four support points)</t>
  </si>
  <si>
    <t>MAXIMUM LOAD IN THE REINFORCED JOINTS BETWEEN FLIGHT AND LANDING</t>
  </si>
  <si>
    <t>JOINT 1</t>
  </si>
  <si>
    <t>JOINT 2</t>
  </si>
  <si>
    <t>Edge distance to reinforced joints (K)</t>
  </si>
  <si>
    <t xml:space="preserve">In addition to the gravity loads, the seismic inertia forces are forces in all possible horizontal directions. 
The amount of static vertical design load decreases due to lower load factors in ALS compared to ULS. Nevertheless, the horizontal inertia forces lead to additional forces in the connections that must be considered. The inertia force componets parallel and perpendicular to the stair direction induce axial and shear forces in the connections between stair and landing.   If the calculations indicate lift off at base of flight, the calculated/reported vertical forces  in the reinforced joints are not valid.  </t>
  </si>
  <si>
    <r>
      <t>Force in z-direction from gravity:       F</t>
    </r>
    <r>
      <rPr>
        <i/>
        <vertAlign val="subscript"/>
        <sz val="12"/>
        <rFont val="Arial"/>
        <family val="2"/>
      </rPr>
      <t>z.gravity</t>
    </r>
  </si>
  <si>
    <t xml:space="preserve">Joint 1 </t>
  </si>
  <si>
    <t xml:space="preserve">Joint 2 </t>
  </si>
  <si>
    <r>
      <t>Force in joints in z-direction caused by F</t>
    </r>
    <r>
      <rPr>
        <i/>
        <vertAlign val="subscript"/>
        <sz val="12"/>
        <rFont val="Arial"/>
        <family val="2"/>
      </rPr>
      <t>ax</t>
    </r>
    <r>
      <rPr>
        <i/>
        <sz val="12"/>
        <rFont val="Arial"/>
        <family val="2"/>
      </rPr>
      <t>:   F</t>
    </r>
    <r>
      <rPr>
        <i/>
        <vertAlign val="subscript"/>
        <sz val="12"/>
        <rFont val="Arial"/>
        <family val="2"/>
      </rPr>
      <t>z.Fax</t>
    </r>
  </si>
  <si>
    <r>
      <t>Force in joints in y-direction caused by F</t>
    </r>
    <r>
      <rPr>
        <i/>
        <vertAlign val="subscript"/>
        <sz val="12"/>
        <rFont val="Arial"/>
        <family val="2"/>
      </rPr>
      <t>ax</t>
    </r>
    <r>
      <rPr>
        <i/>
        <sz val="12"/>
        <rFont val="Arial"/>
        <family val="2"/>
      </rPr>
      <t>:   F</t>
    </r>
    <r>
      <rPr>
        <i/>
        <vertAlign val="subscript"/>
        <sz val="12"/>
        <rFont val="Arial"/>
        <family val="2"/>
      </rPr>
      <t>y.Fax</t>
    </r>
  </si>
  <si>
    <r>
      <t>Force in joints in x-direction caused by F</t>
    </r>
    <r>
      <rPr>
        <i/>
        <vertAlign val="subscript"/>
        <sz val="12"/>
        <rFont val="Arial"/>
        <family val="2"/>
      </rPr>
      <t>ax</t>
    </r>
    <r>
      <rPr>
        <i/>
        <sz val="12"/>
        <rFont val="Arial"/>
        <family val="2"/>
      </rPr>
      <t>:   F</t>
    </r>
    <r>
      <rPr>
        <i/>
        <vertAlign val="subscript"/>
        <sz val="12"/>
        <rFont val="Arial"/>
        <family val="2"/>
      </rPr>
      <t>x.Fax</t>
    </r>
  </si>
  <si>
    <r>
      <t>UPLIFT upper joints: If F</t>
    </r>
    <r>
      <rPr>
        <i/>
        <vertAlign val="subscript"/>
        <sz val="12"/>
        <rFont val="Arial"/>
        <family val="2"/>
      </rPr>
      <t>z.Fay</t>
    </r>
    <r>
      <rPr>
        <i/>
        <sz val="12"/>
        <rFont val="Arial"/>
        <family val="2"/>
      </rPr>
      <t>&gt;F</t>
    </r>
    <r>
      <rPr>
        <i/>
        <vertAlign val="subscript"/>
        <sz val="12"/>
        <rFont val="Arial"/>
        <family val="2"/>
      </rPr>
      <t>z.gravity</t>
    </r>
    <r>
      <rPr>
        <i/>
        <sz val="12"/>
        <rFont val="Arial"/>
        <family val="2"/>
      </rPr>
      <t>,  the reinforcment in the upper joints must be designed to take uplift forces.</t>
    </r>
  </si>
  <si>
    <r>
      <t>Force in joints in x-direction caused by F</t>
    </r>
    <r>
      <rPr>
        <i/>
        <vertAlign val="subscript"/>
        <sz val="12"/>
        <rFont val="Arial"/>
        <family val="2"/>
      </rPr>
      <t>x</t>
    </r>
    <r>
      <rPr>
        <i/>
        <sz val="12"/>
        <rFont val="Arial"/>
        <family val="2"/>
      </rPr>
      <t>:   F</t>
    </r>
    <r>
      <rPr>
        <i/>
        <vertAlign val="subscript"/>
        <sz val="12"/>
        <rFont val="Arial"/>
        <family val="2"/>
      </rPr>
      <t>x.Fx</t>
    </r>
  </si>
  <si>
    <r>
      <t>Force in joints in x-direction caused by F</t>
    </r>
    <r>
      <rPr>
        <i/>
        <vertAlign val="subscript"/>
        <sz val="12"/>
        <rFont val="Arial"/>
        <family val="2"/>
      </rPr>
      <t>y</t>
    </r>
    <r>
      <rPr>
        <i/>
        <sz val="12"/>
        <rFont val="Arial"/>
        <family val="2"/>
      </rPr>
      <t>:   F</t>
    </r>
    <r>
      <rPr>
        <i/>
        <vertAlign val="subscript"/>
        <sz val="12"/>
        <rFont val="Arial"/>
        <family val="2"/>
      </rPr>
      <t>x.Fy</t>
    </r>
  </si>
  <si>
    <r>
      <t>Force in joints in y-direction caused by F</t>
    </r>
    <r>
      <rPr>
        <i/>
        <vertAlign val="subscript"/>
        <sz val="12"/>
        <rFont val="Arial"/>
        <family val="2"/>
      </rPr>
      <t>x</t>
    </r>
    <r>
      <rPr>
        <i/>
        <sz val="12"/>
        <rFont val="Arial"/>
        <family val="2"/>
      </rPr>
      <t>:   F</t>
    </r>
    <r>
      <rPr>
        <i/>
        <vertAlign val="subscript"/>
        <sz val="12"/>
        <rFont val="Arial"/>
        <family val="2"/>
      </rPr>
      <t>y.Fx</t>
    </r>
  </si>
  <si>
    <r>
      <t>Force in joints in y-direction caused by F</t>
    </r>
    <r>
      <rPr>
        <i/>
        <vertAlign val="subscript"/>
        <sz val="12"/>
        <rFont val="Arial"/>
        <family val="2"/>
      </rPr>
      <t>y</t>
    </r>
    <r>
      <rPr>
        <i/>
        <sz val="12"/>
        <rFont val="Arial"/>
        <family val="2"/>
      </rPr>
      <t>:   F</t>
    </r>
    <r>
      <rPr>
        <i/>
        <vertAlign val="subscript"/>
        <sz val="12"/>
        <rFont val="Arial"/>
        <family val="2"/>
      </rPr>
      <t>y.Fy</t>
    </r>
  </si>
  <si>
    <r>
      <t>Force in joints in z-direction caused by F</t>
    </r>
    <r>
      <rPr>
        <i/>
        <vertAlign val="subscript"/>
        <sz val="12"/>
        <rFont val="Arial"/>
        <family val="2"/>
      </rPr>
      <t>x</t>
    </r>
    <r>
      <rPr>
        <i/>
        <sz val="12"/>
        <rFont val="Arial"/>
        <family val="2"/>
      </rPr>
      <t>:   F</t>
    </r>
    <r>
      <rPr>
        <i/>
        <vertAlign val="subscript"/>
        <sz val="12"/>
        <rFont val="Arial"/>
        <family val="2"/>
      </rPr>
      <t>z.Fx</t>
    </r>
  </si>
  <si>
    <r>
      <t>Force in joints in z-direction caused by F</t>
    </r>
    <r>
      <rPr>
        <i/>
        <vertAlign val="subscript"/>
        <sz val="12"/>
        <rFont val="Arial"/>
        <family val="2"/>
      </rPr>
      <t>y</t>
    </r>
    <r>
      <rPr>
        <i/>
        <sz val="12"/>
        <rFont val="Arial"/>
        <family val="2"/>
      </rPr>
      <t>:   F</t>
    </r>
    <r>
      <rPr>
        <i/>
        <vertAlign val="subscript"/>
        <sz val="12"/>
        <rFont val="Arial"/>
        <family val="2"/>
      </rPr>
      <t>z.Fy</t>
    </r>
  </si>
  <si>
    <r>
      <t>Force in joints in z-direction from gravity:       F</t>
    </r>
    <r>
      <rPr>
        <i/>
        <vertAlign val="subscript"/>
        <sz val="12"/>
        <rFont val="Arial"/>
        <family val="2"/>
      </rPr>
      <t>z.gravity</t>
    </r>
  </si>
  <si>
    <r>
      <t>Force in joints in x-direction caused by F</t>
    </r>
    <r>
      <rPr>
        <i/>
        <vertAlign val="subscript"/>
        <sz val="12"/>
        <rFont val="Arial"/>
        <family val="2"/>
      </rPr>
      <t>ay</t>
    </r>
    <r>
      <rPr>
        <i/>
        <sz val="12"/>
        <rFont val="Arial"/>
        <family val="2"/>
      </rPr>
      <t>:   F</t>
    </r>
    <r>
      <rPr>
        <i/>
        <vertAlign val="subscript"/>
        <sz val="12"/>
        <rFont val="Arial"/>
        <family val="2"/>
      </rPr>
      <t>x.Fay</t>
    </r>
  </si>
  <si>
    <r>
      <t>Force in joints in y-direction caused by F</t>
    </r>
    <r>
      <rPr>
        <i/>
        <vertAlign val="subscript"/>
        <sz val="12"/>
        <rFont val="Arial"/>
        <family val="2"/>
      </rPr>
      <t>ay</t>
    </r>
    <r>
      <rPr>
        <i/>
        <sz val="12"/>
        <rFont val="Arial"/>
        <family val="2"/>
      </rPr>
      <t>:   F</t>
    </r>
    <r>
      <rPr>
        <i/>
        <vertAlign val="subscript"/>
        <sz val="12"/>
        <rFont val="Arial"/>
        <family val="2"/>
      </rPr>
      <t>y.Fay</t>
    </r>
  </si>
  <si>
    <r>
      <t>Force in joints in z-direction caused by F</t>
    </r>
    <r>
      <rPr>
        <i/>
        <vertAlign val="subscript"/>
        <sz val="12"/>
        <rFont val="Arial"/>
        <family val="2"/>
      </rPr>
      <t>ay</t>
    </r>
    <r>
      <rPr>
        <i/>
        <sz val="12"/>
        <rFont val="Arial"/>
        <family val="2"/>
      </rPr>
      <t>:   F</t>
    </r>
    <r>
      <rPr>
        <i/>
        <vertAlign val="subscript"/>
        <sz val="12"/>
        <rFont val="Arial"/>
        <family val="2"/>
      </rPr>
      <t>z.Fay</t>
    </r>
  </si>
  <si>
    <t xml:space="preserve">Upper reinforced joints:  </t>
  </si>
  <si>
    <t xml:space="preserve">*) The calculation of steel utilization for combined loading is based on some simplified  formulas and should only be used as an indication. In case of utilization &gt;0,8 the final utilization should be calculated by more sofisticated software. 
</t>
  </si>
  <si>
    <t xml:space="preserve">  TSS 102</t>
  </si>
  <si>
    <t>TSS 25 L</t>
  </si>
  <si>
    <t>TSS  101</t>
  </si>
  <si>
    <r>
      <t>2) Maximum loads in reinforced joints in flight ALS: Earthquake acceleration a</t>
    </r>
    <r>
      <rPr>
        <b/>
        <vertAlign val="subscript"/>
        <sz val="12"/>
        <rFont val="Arial"/>
        <family val="2"/>
      </rPr>
      <t>d</t>
    </r>
    <r>
      <rPr>
        <b/>
        <sz val="12"/>
        <rFont val="Arial"/>
        <family val="2"/>
      </rPr>
      <t xml:space="preserve"> parallel to flight direction -&gt; a</t>
    </r>
    <r>
      <rPr>
        <b/>
        <vertAlign val="subscript"/>
        <sz val="12"/>
        <rFont val="Arial"/>
        <family val="2"/>
      </rPr>
      <t>x</t>
    </r>
    <r>
      <rPr>
        <b/>
        <sz val="12"/>
        <rFont val="Arial"/>
        <family val="2"/>
      </rPr>
      <t>=a</t>
    </r>
    <r>
      <rPr>
        <b/>
        <vertAlign val="subscript"/>
        <sz val="12"/>
        <rFont val="Arial"/>
        <family val="2"/>
      </rPr>
      <t>d</t>
    </r>
  </si>
  <si>
    <r>
      <t>3) Maximum loads in reinforced joints in flight ALS: Earthquake acceleration a</t>
    </r>
    <r>
      <rPr>
        <b/>
        <vertAlign val="subscript"/>
        <sz val="12"/>
        <rFont val="Arial"/>
        <family val="2"/>
      </rPr>
      <t>d</t>
    </r>
    <r>
      <rPr>
        <b/>
        <sz val="12"/>
        <rFont val="Arial"/>
        <family val="2"/>
      </rPr>
      <t xml:space="preserve"> perpendicular to flight direction -&gt; a</t>
    </r>
    <r>
      <rPr>
        <b/>
        <vertAlign val="subscript"/>
        <sz val="12"/>
        <rFont val="Arial"/>
        <family val="2"/>
      </rPr>
      <t>y</t>
    </r>
    <r>
      <rPr>
        <b/>
        <sz val="12"/>
        <rFont val="Arial"/>
        <family val="2"/>
      </rPr>
      <t>=a</t>
    </r>
    <r>
      <rPr>
        <b/>
        <vertAlign val="subscript"/>
        <sz val="12"/>
        <rFont val="Arial"/>
        <family val="2"/>
      </rPr>
      <t>d</t>
    </r>
  </si>
  <si>
    <r>
      <t>4) Maximum loads in reinforced joints in flight ALS: Earthquake acceleration a</t>
    </r>
    <r>
      <rPr>
        <b/>
        <vertAlign val="subscript"/>
        <sz val="12"/>
        <rFont val="Arial"/>
        <family val="2"/>
      </rPr>
      <t>d</t>
    </r>
    <r>
      <rPr>
        <b/>
        <sz val="12"/>
        <rFont val="Arial"/>
        <family val="2"/>
      </rPr>
      <t xml:space="preserve"> at angle </t>
    </r>
    <r>
      <rPr>
        <b/>
        <sz val="12"/>
        <rFont val="Symbol"/>
        <family val="1"/>
        <charset val="2"/>
      </rPr>
      <t>a</t>
    </r>
    <r>
      <rPr>
        <b/>
        <vertAlign val="subscript"/>
        <sz val="12"/>
        <rFont val="Arial"/>
        <family val="2"/>
      </rPr>
      <t>max</t>
    </r>
    <r>
      <rPr>
        <b/>
        <sz val="12"/>
        <rFont val="Arial"/>
        <family val="2"/>
      </rPr>
      <t xml:space="preserve"> yielding max axial force in upper inserts to landing. </t>
    </r>
  </si>
  <si>
    <t>- TSS 101/102: See Memo 54 and 55</t>
  </si>
  <si>
    <t>- TSS 25 L: See Memo 65A</t>
  </si>
  <si>
    <t>Performance of TSS and recommended reinforcement pattern (static loads):</t>
  </si>
  <si>
    <t xml:space="preserve">NOTE: 
- The earthquake forces are not assumed to be transferred in the TSS 25 L connections, but in separate reinforced joints between the stair and the landing. Final design of these reinforced joints is to be carried out by the responsible engineer. </t>
  </si>
  <si>
    <t xml:space="preserve">                                                                                                                     Version 1.2,29.01.2021</t>
  </si>
  <si>
    <t>IC earthquake solution: See Memo 70-72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</si>
</sst>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0\ &quot;kN&quot;"/>
    <numFmt numFmtId="165" formatCode="0\ &quot;mm&quot;"/>
    <numFmt numFmtId="166" formatCode="0.00\ &quot;kN/sqm&quot;"/>
    <numFmt numFmtId="167" formatCode="0\ &quot;kN/m3&quot;"/>
    <numFmt numFmtId="168" formatCode="0.000"/>
    <numFmt numFmtId="169" formatCode="0.00\ &quot;kNm&quot;"/>
    <numFmt numFmtId="170" formatCode="0.00000000000000"/>
    <numFmt numFmtId="171" formatCode="0.00\ &quot;deg&quot;"/>
    <numFmt numFmtId="172" formatCode="0.00\ &quot;m&quot;"/>
    <numFmt numFmtId="173" formatCode="0.0"/>
    <numFmt numFmtId="174" formatCode="0.000000"/>
    <numFmt numFmtId="175" formatCode="0.00000\ &quot;mm&quot;"/>
  </numFmts>
  <fonts count="68">
    <font>
      <sz val="10"/>
      <name val="Arial"/>
    </font>
    <font>
      <b/>
      <sz val="12"/>
      <name val="Arial"/>
      <family val="2"/>
    </font>
    <font>
      <b/>
      <sz val="14"/>
      <name val="Arial"/>
      <family val="2"/>
    </font>
    <font>
      <sz val="10"/>
      <name val="Arial"/>
      <family val="2"/>
    </font>
    <font>
      <sz val="12"/>
      <name val="Arial"/>
      <family val="2"/>
    </font>
    <font>
      <b/>
      <u/>
      <sz val="12"/>
      <name val="Arial"/>
      <family val="2"/>
    </font>
    <font>
      <i/>
      <sz val="12"/>
      <name val="Arial"/>
      <family val="2"/>
    </font>
    <font>
      <vertAlign val="superscript"/>
      <sz val="12"/>
      <name val="Arial"/>
      <family val="2"/>
    </font>
    <font>
      <i/>
      <vertAlign val="subscript"/>
      <sz val="12"/>
      <name val="Arial"/>
      <family val="2"/>
    </font>
    <font>
      <vertAlign val="subscript"/>
      <sz val="12"/>
      <name val="Arial"/>
      <family val="2"/>
    </font>
    <font>
      <b/>
      <i/>
      <sz val="12"/>
      <name val="Arial"/>
      <family val="2"/>
    </font>
    <font>
      <b/>
      <sz val="12"/>
      <color rgb="FF00B0F0"/>
      <name val="Arial"/>
      <family val="2"/>
    </font>
    <font>
      <sz val="10"/>
      <color rgb="FFFF0000"/>
      <name val="Arial"/>
      <family val="2"/>
    </font>
    <font>
      <b/>
      <sz val="12"/>
      <color rgb="FF00B050"/>
      <name val="Arial"/>
      <family val="2"/>
    </font>
    <font>
      <b/>
      <sz val="10"/>
      <color rgb="FF00B0F0"/>
      <name val="Arial"/>
      <family val="2"/>
    </font>
    <font>
      <b/>
      <i/>
      <sz val="12"/>
      <color rgb="FF00B050"/>
      <name val="Arial"/>
      <family val="2"/>
    </font>
    <font>
      <b/>
      <sz val="12"/>
      <color theme="5"/>
      <name val="Arial"/>
      <family val="2"/>
    </font>
    <font>
      <b/>
      <sz val="14"/>
      <color theme="5"/>
      <name val="Arial"/>
      <family val="2"/>
    </font>
    <font>
      <b/>
      <vertAlign val="subscript"/>
      <sz val="12"/>
      <name val="Arial"/>
      <family val="2"/>
    </font>
    <font>
      <b/>
      <i/>
      <sz val="11"/>
      <name val="Arial"/>
      <family val="2"/>
    </font>
    <font>
      <sz val="12"/>
      <color rgb="FFFF0000"/>
      <name val="Arial"/>
      <family val="2"/>
    </font>
    <font>
      <b/>
      <sz val="12"/>
      <color rgb="FFFF0000"/>
      <name val="Arial"/>
      <family val="2"/>
    </font>
    <font>
      <i/>
      <sz val="12"/>
      <color rgb="FFFF0000"/>
      <name val="Arial"/>
      <family val="2"/>
    </font>
    <font>
      <b/>
      <sz val="14"/>
      <color rgb="FFFF0000"/>
      <name val="Arial"/>
      <family val="2"/>
    </font>
    <font>
      <i/>
      <sz val="12"/>
      <name val="Symbol"/>
      <family val="1"/>
      <charset val="2"/>
    </font>
    <font>
      <sz val="12"/>
      <name val="Symbol"/>
      <family val="1"/>
      <charset val="2"/>
    </font>
    <font>
      <b/>
      <sz val="12"/>
      <name val="Symbol"/>
      <family val="1"/>
      <charset val="2"/>
    </font>
    <font>
      <sz val="12"/>
      <color rgb="FF00B050"/>
      <name val="Arial"/>
      <family val="2"/>
    </font>
    <font>
      <sz val="10"/>
      <color rgb="FF00B050"/>
      <name val="Arial"/>
      <family val="2"/>
    </font>
    <font>
      <i/>
      <u/>
      <sz val="12"/>
      <name val="Arial"/>
      <family val="2"/>
    </font>
    <font>
      <i/>
      <u/>
      <sz val="10"/>
      <name val="Arial"/>
      <family val="2"/>
    </font>
    <font>
      <b/>
      <sz val="10"/>
      <name val="Arial"/>
      <family val="2"/>
    </font>
    <font>
      <sz val="9"/>
      <name val="Arial"/>
      <family val="2"/>
    </font>
    <font>
      <i/>
      <sz val="9"/>
      <name val="Arial"/>
      <family val="2"/>
    </font>
    <font>
      <b/>
      <i/>
      <sz val="10"/>
      <name val="Arial"/>
      <family val="2"/>
    </font>
    <font>
      <vertAlign val="subscript"/>
      <sz val="9"/>
      <name val="Arial"/>
      <family val="2"/>
    </font>
    <font>
      <sz val="9"/>
      <color rgb="FF00B050"/>
      <name val="Arial"/>
      <family val="2"/>
    </font>
    <font>
      <vertAlign val="subscript"/>
      <sz val="10"/>
      <color theme="1"/>
      <name val="Arial"/>
      <family val="2"/>
    </font>
    <font>
      <sz val="11"/>
      <name val="Calibri"/>
      <family val="2"/>
    </font>
    <font>
      <vertAlign val="subscript"/>
      <sz val="11"/>
      <name val="Calibri"/>
      <family val="2"/>
    </font>
    <font>
      <sz val="11"/>
      <name val="Calibri"/>
      <family val="2"/>
      <scheme val="minor"/>
    </font>
    <font>
      <sz val="9"/>
      <color theme="1"/>
      <name val="Arial"/>
      <family val="2"/>
    </font>
    <font>
      <vertAlign val="superscript"/>
      <sz val="9"/>
      <color theme="1"/>
      <name val="Arial"/>
      <family val="2"/>
    </font>
    <font>
      <b/>
      <sz val="11"/>
      <name val="Calibri"/>
      <family val="2"/>
    </font>
    <font>
      <vertAlign val="superscript"/>
      <sz val="9"/>
      <name val="Arial"/>
      <family val="2"/>
    </font>
    <font>
      <sz val="11"/>
      <color rgb="FF00B050"/>
      <name val="Calibri"/>
      <family val="2"/>
      <scheme val="minor"/>
    </font>
    <font>
      <vertAlign val="subscript"/>
      <sz val="11"/>
      <name val="Calibri"/>
      <family val="2"/>
      <scheme val="minor"/>
    </font>
    <font>
      <sz val="11"/>
      <color rgb="FF00B050"/>
      <name val="Symbol"/>
      <family val="1"/>
      <charset val="2"/>
    </font>
    <font>
      <sz val="11"/>
      <name val="Symbol"/>
      <family val="1"/>
      <charset val="2"/>
    </font>
    <font>
      <i/>
      <sz val="12"/>
      <color theme="1"/>
      <name val="Arial"/>
      <family val="2"/>
    </font>
    <font>
      <b/>
      <i/>
      <sz val="12"/>
      <color theme="1"/>
      <name val="Arial"/>
      <family val="2"/>
    </font>
    <font>
      <sz val="12"/>
      <color theme="1"/>
      <name val="Arial"/>
      <family val="2"/>
    </font>
    <font>
      <vertAlign val="subscript"/>
      <sz val="12"/>
      <color theme="1"/>
      <name val="Arial"/>
      <family val="2"/>
    </font>
    <font>
      <sz val="12"/>
      <name val="Calibri"/>
      <family val="2"/>
      <scheme val="minor"/>
    </font>
    <font>
      <b/>
      <sz val="12"/>
      <color theme="1"/>
      <name val="Arial"/>
      <family val="2"/>
    </font>
    <font>
      <i/>
      <vertAlign val="subscript"/>
      <sz val="9"/>
      <color theme="1"/>
      <name val="Arial"/>
      <family val="2"/>
    </font>
    <font>
      <i/>
      <sz val="9"/>
      <color theme="1"/>
      <name val="Arial"/>
      <family val="2"/>
    </font>
    <font>
      <i/>
      <vertAlign val="subscript"/>
      <sz val="12"/>
      <color theme="1"/>
      <name val="Arial"/>
      <family val="2"/>
    </font>
    <font>
      <sz val="11"/>
      <name val="Arial"/>
      <family val="2"/>
    </font>
    <font>
      <sz val="8"/>
      <name val="Arial"/>
      <family val="2"/>
    </font>
    <font>
      <sz val="12"/>
      <name val="Symbol"/>
      <family val="2"/>
      <charset val="2"/>
    </font>
    <font>
      <sz val="12"/>
      <name val="Arial"/>
      <family val="1"/>
      <charset val="2"/>
    </font>
    <font>
      <b/>
      <sz val="11"/>
      <color rgb="FF00B050"/>
      <name val="Arial"/>
      <family val="2"/>
    </font>
    <font>
      <i/>
      <sz val="12"/>
      <name val="Areial"/>
    </font>
    <font>
      <i/>
      <vertAlign val="subscript"/>
      <sz val="12"/>
      <name val="Areial"/>
    </font>
    <font>
      <sz val="11"/>
      <color rgb="FFFF0000"/>
      <name val="Arial"/>
      <family val="2"/>
    </font>
    <font>
      <sz val="10"/>
      <color theme="1"/>
      <name val="Arial"/>
      <family val="2"/>
    </font>
    <font>
      <sz val="24"/>
      <name val="Arial"/>
      <family val="2"/>
    </font>
  </fonts>
  <fills count="7">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FF0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s>
  <cellStyleXfs count="1">
    <xf numFmtId="0" fontId="0" fillId="0" borderId="0"/>
  </cellStyleXfs>
  <cellXfs count="438">
    <xf numFmtId="0" fontId="0" fillId="0" borderId="0" xfId="0"/>
    <xf numFmtId="2" fontId="11" fillId="0" borderId="0" xfId="0" applyNumberFormat="1" applyFont="1" applyFill="1" applyBorder="1" applyProtection="1">
      <protection locked="0"/>
    </xf>
    <xf numFmtId="1" fontId="11" fillId="0" borderId="0" xfId="0" applyNumberFormat="1" applyFont="1" applyFill="1" applyBorder="1" applyProtection="1">
      <protection locked="0"/>
    </xf>
    <xf numFmtId="0" fontId="1" fillId="0" borderId="12" xfId="0" applyFont="1" applyBorder="1" applyAlignment="1" applyProtection="1"/>
    <xf numFmtId="0" fontId="0" fillId="0" borderId="0" xfId="0" applyBorder="1" applyProtection="1"/>
    <xf numFmtId="0" fontId="0" fillId="0" borderId="8" xfId="0" applyBorder="1" applyProtection="1"/>
    <xf numFmtId="0" fontId="1" fillId="0" borderId="12" xfId="0" applyFont="1" applyBorder="1" applyProtection="1"/>
    <xf numFmtId="0" fontId="4" fillId="0" borderId="0" xfId="0" applyFont="1" applyBorder="1" applyProtection="1"/>
    <xf numFmtId="165" fontId="4" fillId="0" borderId="0" xfId="0" applyNumberFormat="1" applyFont="1" applyFill="1" applyBorder="1" applyAlignment="1" applyProtection="1">
      <alignment horizontal="left" vertical="center"/>
    </xf>
    <xf numFmtId="165" fontId="4" fillId="0" borderId="8" xfId="0" applyNumberFormat="1" applyFont="1" applyFill="1" applyBorder="1" applyAlignment="1" applyProtection="1">
      <alignment horizontal="left" vertical="center"/>
    </xf>
    <xf numFmtId="0" fontId="4" fillId="0" borderId="0" xfId="0" applyFont="1" applyBorder="1" applyAlignment="1" applyProtection="1">
      <alignment horizontal="right"/>
    </xf>
    <xf numFmtId="165" fontId="4" fillId="0" borderId="0" xfId="0" applyNumberFormat="1" applyFont="1" applyBorder="1" applyProtection="1"/>
    <xf numFmtId="0" fontId="6" fillId="0" borderId="12" xfId="0" applyFont="1" applyBorder="1" applyProtection="1"/>
    <xf numFmtId="0" fontId="4" fillId="0" borderId="12" xfId="0" applyFont="1" applyBorder="1" applyProtection="1"/>
    <xf numFmtId="164" fontId="4" fillId="0" borderId="0" xfId="0" applyNumberFormat="1" applyFont="1" applyBorder="1" applyAlignment="1" applyProtection="1">
      <alignment horizontal="right"/>
    </xf>
    <xf numFmtId="0" fontId="4" fillId="0" borderId="8" xfId="0" applyFont="1" applyBorder="1" applyProtection="1"/>
    <xf numFmtId="0" fontId="4" fillId="0" borderId="0" xfId="0" applyFont="1" applyBorder="1" applyAlignment="1" applyProtection="1">
      <alignment horizontal="center"/>
    </xf>
    <xf numFmtId="164" fontId="4" fillId="0" borderId="0" xfId="0" applyNumberFormat="1" applyFont="1" applyBorder="1" applyAlignment="1" applyProtection="1">
      <alignment horizontal="left"/>
    </xf>
    <xf numFmtId="164" fontId="13" fillId="0" borderId="8" xfId="0" applyNumberFormat="1" applyFont="1" applyBorder="1" applyAlignment="1" applyProtection="1">
      <alignment horizontal="left"/>
    </xf>
    <xf numFmtId="0" fontId="0" fillId="0" borderId="12" xfId="0" applyBorder="1" applyProtection="1"/>
    <xf numFmtId="0" fontId="0" fillId="0" borderId="0" xfId="0" applyBorder="1" applyAlignment="1" applyProtection="1">
      <alignment horizontal="right"/>
    </xf>
    <xf numFmtId="0" fontId="3" fillId="0" borderId="0" xfId="0" applyFont="1" applyBorder="1" applyAlignment="1" applyProtection="1">
      <alignment horizontal="left"/>
    </xf>
    <xf numFmtId="0" fontId="4" fillId="0" borderId="0" xfId="0" applyFont="1" applyBorder="1" applyAlignment="1" applyProtection="1">
      <alignment vertical="center"/>
    </xf>
    <xf numFmtId="0" fontId="4" fillId="0" borderId="0" xfId="0" applyFont="1" applyBorder="1" applyAlignment="1" applyProtection="1">
      <alignment horizontal="right" vertical="center"/>
    </xf>
    <xf numFmtId="0" fontId="6" fillId="0" borderId="0" xfId="0" applyFont="1" applyBorder="1" applyAlignment="1" applyProtection="1">
      <alignment horizontal="left" vertical="center"/>
    </xf>
    <xf numFmtId="0" fontId="4" fillId="0" borderId="0" xfId="0" applyFont="1" applyBorder="1" applyAlignment="1" applyProtection="1">
      <alignment horizontal="left" vertical="center"/>
    </xf>
    <xf numFmtId="0" fontId="4" fillId="0" borderId="8" xfId="0" applyFont="1" applyBorder="1" applyAlignment="1" applyProtection="1">
      <alignment horizontal="left" vertical="center"/>
    </xf>
    <xf numFmtId="0" fontId="0" fillId="0" borderId="0" xfId="0" applyBorder="1" applyAlignment="1" applyProtection="1">
      <alignment horizontal="left"/>
    </xf>
    <xf numFmtId="164" fontId="13" fillId="0" borderId="0" xfId="0" applyNumberFormat="1" applyFont="1" applyBorder="1" applyAlignment="1" applyProtection="1">
      <alignment horizontal="left"/>
    </xf>
    <xf numFmtId="0" fontId="4" fillId="0" borderId="0" xfId="0" applyFont="1" applyBorder="1" applyAlignment="1" applyProtection="1">
      <alignment horizontal="center" vertical="center"/>
    </xf>
    <xf numFmtId="169" fontId="13" fillId="0" borderId="0" xfId="0" applyNumberFormat="1" applyFont="1" applyBorder="1" applyAlignment="1" applyProtection="1">
      <alignment horizontal="left"/>
    </xf>
    <xf numFmtId="0" fontId="4" fillId="0" borderId="12" xfId="0" applyFont="1" applyBorder="1" applyAlignment="1" applyProtection="1">
      <alignment horizontal="left" vertical="center"/>
    </xf>
    <xf numFmtId="168" fontId="4" fillId="0" borderId="0" xfId="0" applyNumberFormat="1" applyFont="1" applyBorder="1" applyAlignment="1" applyProtection="1">
      <alignment horizontal="left"/>
    </xf>
    <xf numFmtId="164" fontId="4" fillId="0" borderId="0" xfId="0" applyNumberFormat="1" applyFont="1" applyBorder="1" applyProtection="1"/>
    <xf numFmtId="165" fontId="4" fillId="0" borderId="0" xfId="0" applyNumberFormat="1" applyFont="1" applyBorder="1" applyAlignment="1" applyProtection="1">
      <alignment horizontal="center" vertical="center"/>
    </xf>
    <xf numFmtId="165" fontId="4" fillId="0" borderId="0" xfId="0" applyNumberFormat="1" applyFont="1" applyBorder="1" applyAlignment="1" applyProtection="1">
      <alignment horizontal="left"/>
    </xf>
    <xf numFmtId="166" fontId="4" fillId="0" borderId="0" xfId="0" applyNumberFormat="1" applyFont="1" applyFill="1" applyBorder="1" applyAlignment="1" applyProtection="1">
      <alignment horizontal="left" vertical="center"/>
    </xf>
    <xf numFmtId="0" fontId="13" fillId="0" borderId="0" xfId="0" applyFont="1" applyBorder="1" applyProtection="1"/>
    <xf numFmtId="0" fontId="0" fillId="0" borderId="0" xfId="0" applyFill="1" applyBorder="1" applyProtection="1"/>
    <xf numFmtId="167" fontId="4" fillId="0" borderId="0" xfId="0" applyNumberFormat="1" applyFont="1" applyFill="1" applyBorder="1" applyAlignment="1" applyProtection="1">
      <alignment horizontal="left" vertical="center"/>
    </xf>
    <xf numFmtId="0" fontId="4" fillId="0" borderId="12" xfId="0" applyFont="1" applyBorder="1" applyAlignment="1" applyProtection="1">
      <alignment vertical="center"/>
    </xf>
    <xf numFmtId="0" fontId="12" fillId="0" borderId="8" xfId="0" applyFont="1" applyBorder="1" applyProtection="1"/>
    <xf numFmtId="2" fontId="4" fillId="0" borderId="0" xfId="0" applyNumberFormat="1" applyFont="1" applyFill="1" applyBorder="1" applyAlignment="1" applyProtection="1">
      <alignment horizontal="left"/>
    </xf>
    <xf numFmtId="0" fontId="4" fillId="0" borderId="0" xfId="0" applyFont="1" applyBorder="1" applyAlignment="1" applyProtection="1"/>
    <xf numFmtId="2" fontId="4" fillId="0" borderId="8" xfId="0" applyNumberFormat="1" applyFont="1" applyFill="1" applyBorder="1" applyAlignment="1" applyProtection="1">
      <alignment horizontal="left"/>
    </xf>
    <xf numFmtId="0" fontId="5" fillId="0" borderId="12" xfId="0" applyFont="1" applyBorder="1" applyProtection="1"/>
    <xf numFmtId="0" fontId="4" fillId="0" borderId="0" xfId="0" applyFont="1" applyFill="1" applyBorder="1" applyProtection="1"/>
    <xf numFmtId="0" fontId="1" fillId="0" borderId="0" xfId="0" applyFont="1" applyBorder="1" applyAlignment="1" applyProtection="1">
      <alignment horizontal="right" vertical="center"/>
    </xf>
    <xf numFmtId="0" fontId="2" fillId="0" borderId="12" xfId="0" applyFont="1" applyBorder="1" applyProtection="1"/>
    <xf numFmtId="164" fontId="4" fillId="0" borderId="0" xfId="0" applyNumberFormat="1" applyFont="1" applyBorder="1" applyAlignment="1" applyProtection="1">
      <alignment horizontal="left" vertical="center"/>
    </xf>
    <xf numFmtId="0" fontId="4" fillId="0" borderId="0" xfId="0" applyFont="1" applyProtection="1"/>
    <xf numFmtId="0" fontId="0" fillId="0" borderId="0" xfId="0" applyProtection="1"/>
    <xf numFmtId="0" fontId="2" fillId="0" borderId="2" xfId="0" applyFont="1" applyBorder="1" applyAlignment="1" applyProtection="1">
      <alignment vertical="center"/>
    </xf>
    <xf numFmtId="0" fontId="2" fillId="0" borderId="3" xfId="0" applyFont="1" applyBorder="1" applyAlignment="1" applyProtection="1">
      <alignment vertical="center"/>
    </xf>
    <xf numFmtId="0" fontId="2" fillId="0" borderId="4" xfId="0" applyFont="1" applyBorder="1" applyAlignment="1" applyProtection="1">
      <alignment vertical="center"/>
    </xf>
    <xf numFmtId="0" fontId="2" fillId="0" borderId="5" xfId="0" applyFont="1" applyBorder="1" applyAlignment="1" applyProtection="1">
      <alignment vertical="center"/>
    </xf>
    <xf numFmtId="0" fontId="3" fillId="0" borderId="0" xfId="0" applyFont="1" applyProtection="1"/>
    <xf numFmtId="0" fontId="2" fillId="0" borderId="6" xfId="0" applyFont="1" applyBorder="1" applyAlignment="1" applyProtection="1">
      <alignment vertical="center"/>
    </xf>
    <xf numFmtId="0" fontId="2" fillId="0" borderId="7" xfId="0" applyFont="1" applyBorder="1" applyAlignment="1" applyProtection="1">
      <alignment vertical="center"/>
    </xf>
    <xf numFmtId="0" fontId="2" fillId="0" borderId="0" xfId="0" applyFont="1" applyBorder="1" applyAlignment="1" applyProtection="1">
      <alignment vertical="center"/>
    </xf>
    <xf numFmtId="0" fontId="2" fillId="0" borderId="8" xfId="0" applyFont="1" applyBorder="1" applyAlignment="1" applyProtection="1">
      <alignment vertical="center"/>
    </xf>
    <xf numFmtId="0" fontId="0" fillId="0" borderId="7" xfId="0" applyBorder="1" applyAlignment="1" applyProtection="1">
      <alignment vertical="center"/>
    </xf>
    <xf numFmtId="0" fontId="0" fillId="0" borderId="0" xfId="0" applyBorder="1" applyAlignment="1" applyProtection="1">
      <alignment vertical="center"/>
    </xf>
    <xf numFmtId="0" fontId="0" fillId="0" borderId="8" xfId="0" applyBorder="1" applyAlignment="1" applyProtection="1">
      <alignment vertical="center"/>
    </xf>
    <xf numFmtId="0" fontId="2" fillId="0" borderId="1" xfId="0" applyFont="1" applyBorder="1" applyAlignment="1" applyProtection="1">
      <alignment horizontal="right" vertical="center"/>
    </xf>
    <xf numFmtId="0" fontId="2" fillId="0" borderId="9" xfId="0" applyFont="1" applyBorder="1" applyAlignment="1" applyProtection="1">
      <alignment vertical="center"/>
    </xf>
    <xf numFmtId="0" fontId="2" fillId="0" borderId="10" xfId="0" applyFont="1" applyBorder="1" applyAlignment="1" applyProtection="1">
      <alignment vertical="center"/>
    </xf>
    <xf numFmtId="0" fontId="2" fillId="0" borderId="11" xfId="0" applyFont="1" applyBorder="1" applyAlignment="1" applyProtection="1">
      <alignment vertical="center"/>
    </xf>
    <xf numFmtId="0" fontId="3" fillId="0" borderId="0" xfId="0" applyFont="1" applyAlignment="1" applyProtection="1">
      <alignment wrapText="1"/>
    </xf>
    <xf numFmtId="0" fontId="3" fillId="0" borderId="0" xfId="0" applyFont="1" applyBorder="1" applyProtection="1"/>
    <xf numFmtId="2" fontId="3" fillId="0" borderId="0" xfId="0" applyNumberFormat="1" applyFont="1" applyProtection="1"/>
    <xf numFmtId="0" fontId="1" fillId="0" borderId="0" xfId="0" applyFont="1" applyBorder="1" applyAlignment="1" applyProtection="1">
      <alignment horizontal="left" vertical="center"/>
    </xf>
    <xf numFmtId="164" fontId="4" fillId="0" borderId="12" xfId="0" applyNumberFormat="1" applyFont="1" applyBorder="1" applyAlignment="1" applyProtection="1">
      <alignment horizontal="left"/>
    </xf>
    <xf numFmtId="0" fontId="0" fillId="0" borderId="10" xfId="0" applyBorder="1" applyProtection="1"/>
    <xf numFmtId="0" fontId="4" fillId="0" borderId="10" xfId="0" applyFont="1" applyBorder="1" applyAlignment="1" applyProtection="1">
      <alignment horizontal="center"/>
    </xf>
    <xf numFmtId="165" fontId="4" fillId="0" borderId="10" xfId="0" applyNumberFormat="1" applyFont="1" applyBorder="1" applyAlignment="1" applyProtection="1">
      <alignment horizontal="center" vertical="center"/>
    </xf>
    <xf numFmtId="170" fontId="4" fillId="0" borderId="0" xfId="0" applyNumberFormat="1" applyFont="1" applyBorder="1" applyAlignment="1" applyProtection="1">
      <alignment horizontal="left" vertical="center"/>
    </xf>
    <xf numFmtId="0" fontId="0" fillId="0" borderId="0" xfId="0" applyAlignment="1"/>
    <xf numFmtId="0" fontId="0" fillId="0" borderId="0" xfId="0" applyAlignment="1" applyProtection="1"/>
    <xf numFmtId="0" fontId="0" fillId="0" borderId="0" xfId="0" applyFont="1" applyProtection="1"/>
    <xf numFmtId="0" fontId="16" fillId="0" borderId="0" xfId="0" applyFont="1" applyBorder="1" applyAlignment="1" applyProtection="1">
      <alignment horizontal="left" vertical="center"/>
    </xf>
    <xf numFmtId="0" fontId="17" fillId="0" borderId="0" xfId="0" applyFont="1" applyBorder="1" applyAlignment="1" applyProtection="1">
      <alignment horizontal="left" vertical="center"/>
    </xf>
    <xf numFmtId="0" fontId="3" fillId="3" borderId="0" xfId="0" applyFont="1" applyFill="1" applyProtection="1"/>
    <xf numFmtId="0" fontId="6" fillId="0" borderId="16" xfId="0" applyFont="1" applyBorder="1" applyProtection="1"/>
    <xf numFmtId="0" fontId="6" fillId="0" borderId="9" xfId="0" applyFont="1" applyBorder="1" applyProtection="1"/>
    <xf numFmtId="0" fontId="0" fillId="0" borderId="23" xfId="0" applyBorder="1" applyProtection="1"/>
    <xf numFmtId="0" fontId="6" fillId="0" borderId="7" xfId="0" applyFont="1" applyBorder="1" applyProtection="1"/>
    <xf numFmtId="0" fontId="6" fillId="0" borderId="0" xfId="0" applyFont="1" applyBorder="1" applyProtection="1"/>
    <xf numFmtId="0" fontId="10" fillId="0" borderId="12" xfId="0" applyFont="1" applyBorder="1" applyProtection="1"/>
    <xf numFmtId="0" fontId="19" fillId="0" borderId="12" xfId="0" applyFont="1" applyBorder="1" applyProtection="1"/>
    <xf numFmtId="0" fontId="22" fillId="0" borderId="0" xfId="0" applyFont="1" applyBorder="1" applyAlignment="1" applyProtection="1">
      <alignment horizontal="left" vertical="center"/>
    </xf>
    <xf numFmtId="0" fontId="23" fillId="0" borderId="0" xfId="0" applyFont="1" applyBorder="1" applyAlignment="1" applyProtection="1">
      <alignment horizontal="left" vertical="center"/>
    </xf>
    <xf numFmtId="0" fontId="12" fillId="0" borderId="0" xfId="0" applyFont="1" applyBorder="1" applyProtection="1"/>
    <xf numFmtId="0" fontId="12" fillId="0" borderId="10" xfId="0" applyFont="1" applyBorder="1" applyProtection="1"/>
    <xf numFmtId="0" fontId="12" fillId="0" borderId="23" xfId="0" applyFont="1" applyBorder="1" applyProtection="1"/>
    <xf numFmtId="0" fontId="12" fillId="0" borderId="0" xfId="0" applyFont="1" applyProtection="1"/>
    <xf numFmtId="0" fontId="22" fillId="0" borderId="0" xfId="0" applyFont="1" applyBorder="1" applyProtection="1"/>
    <xf numFmtId="0" fontId="19" fillId="0" borderId="7" xfId="0" applyFont="1" applyBorder="1" applyProtection="1"/>
    <xf numFmtId="0" fontId="4" fillId="0" borderId="10" xfId="0" applyFont="1" applyBorder="1" applyAlignment="1" applyProtection="1">
      <alignment vertical="center"/>
    </xf>
    <xf numFmtId="0" fontId="22" fillId="0" borderId="12" xfId="0" applyFont="1" applyBorder="1" applyAlignment="1" applyProtection="1">
      <alignment horizontal="left" vertical="center"/>
    </xf>
    <xf numFmtId="0" fontId="12" fillId="0" borderId="24" xfId="0" applyFont="1" applyBorder="1" applyProtection="1"/>
    <xf numFmtId="0" fontId="3" fillId="0" borderId="24" xfId="0" applyFont="1" applyBorder="1" applyProtection="1"/>
    <xf numFmtId="0" fontId="3" fillId="0" borderId="10" xfId="0" applyFont="1" applyBorder="1" applyProtection="1"/>
    <xf numFmtId="0" fontId="3" fillId="0" borderId="23" xfId="0" applyFont="1" applyBorder="1" applyProtection="1"/>
    <xf numFmtId="169" fontId="4" fillId="0" borderId="0" xfId="0" applyNumberFormat="1" applyFont="1" applyBorder="1" applyAlignment="1" applyProtection="1">
      <alignment horizontal="right"/>
    </xf>
    <xf numFmtId="0" fontId="25" fillId="0" borderId="12" xfId="0" quotePrefix="1" applyFont="1" applyBorder="1" applyAlignment="1" applyProtection="1">
      <alignment horizontal="left" vertical="center"/>
    </xf>
    <xf numFmtId="0" fontId="4" fillId="0" borderId="10" xfId="0" applyFont="1" applyBorder="1" applyAlignment="1" applyProtection="1">
      <alignment horizontal="right" vertical="center"/>
    </xf>
    <xf numFmtId="0" fontId="4" fillId="0" borderId="10" xfId="0" applyFont="1" applyBorder="1" applyAlignment="1" applyProtection="1">
      <alignment horizontal="right"/>
    </xf>
    <xf numFmtId="164" fontId="27" fillId="0" borderId="24" xfId="0" applyNumberFormat="1" applyFont="1" applyBorder="1" applyAlignment="1" applyProtection="1">
      <alignment horizontal="right"/>
    </xf>
    <xf numFmtId="169" fontId="27" fillId="0" borderId="0" xfId="0" applyNumberFormat="1" applyFont="1" applyBorder="1" applyAlignment="1" applyProtection="1">
      <alignment horizontal="right"/>
    </xf>
    <xf numFmtId="0" fontId="28" fillId="0" borderId="23" xfId="0" applyFont="1" applyBorder="1" applyProtection="1"/>
    <xf numFmtId="0" fontId="13" fillId="0" borderId="8" xfId="0" applyFont="1" applyBorder="1" applyAlignment="1" applyProtection="1">
      <alignment horizontal="left" wrapText="1"/>
    </xf>
    <xf numFmtId="0" fontId="15" fillId="0" borderId="8" xfId="0" applyFont="1" applyBorder="1" applyAlignment="1" applyProtection="1">
      <alignment horizontal="left" wrapText="1"/>
    </xf>
    <xf numFmtId="0" fontId="0" fillId="0" borderId="0" xfId="0" applyBorder="1" applyAlignment="1" applyProtection="1"/>
    <xf numFmtId="0" fontId="1" fillId="0" borderId="10" xfId="0" applyFont="1" applyBorder="1" applyAlignment="1" applyProtection="1">
      <alignment horizontal="left"/>
    </xf>
    <xf numFmtId="2" fontId="14" fillId="0" borderId="10" xfId="0" applyNumberFormat="1" applyFont="1" applyBorder="1" applyProtection="1"/>
    <xf numFmtId="2" fontId="11" fillId="0" borderId="0" xfId="0" applyNumberFormat="1" applyFont="1" applyFill="1" applyBorder="1" applyAlignment="1" applyProtection="1">
      <protection locked="0"/>
    </xf>
    <xf numFmtId="166" fontId="4" fillId="0" borderId="0" xfId="0" applyNumberFormat="1" applyFont="1" applyFill="1" applyBorder="1" applyAlignment="1" applyProtection="1">
      <alignment horizontal="left"/>
    </xf>
    <xf numFmtId="0" fontId="0" fillId="0" borderId="10" xfId="0" applyFill="1" applyBorder="1" applyProtection="1"/>
    <xf numFmtId="164" fontId="27" fillId="0" borderId="0" xfId="0" applyNumberFormat="1" applyFont="1" applyBorder="1" applyAlignment="1" applyProtection="1">
      <alignment horizontal="right"/>
    </xf>
    <xf numFmtId="0" fontId="28" fillId="0" borderId="0" xfId="0" applyFont="1" applyBorder="1" applyProtection="1"/>
    <xf numFmtId="172" fontId="4" fillId="0" borderId="0" xfId="0" applyNumberFormat="1" applyFont="1" applyBorder="1" applyProtection="1"/>
    <xf numFmtId="0" fontId="4" fillId="0" borderId="0" xfId="0" applyFont="1" applyBorder="1" applyAlignment="1" applyProtection="1">
      <alignment wrapText="1"/>
    </xf>
    <xf numFmtId="0" fontId="13" fillId="0" borderId="0" xfId="0" applyFont="1" applyBorder="1" applyAlignment="1" applyProtection="1">
      <alignment vertical="top" wrapText="1"/>
    </xf>
    <xf numFmtId="0" fontId="4" fillId="0" borderId="0" xfId="0" applyFont="1" applyBorder="1" applyAlignment="1" applyProtection="1">
      <alignment horizontal="left" vertical="center" wrapText="1"/>
    </xf>
    <xf numFmtId="164" fontId="4" fillId="0" borderId="10" xfId="0" applyNumberFormat="1" applyFont="1" applyBorder="1" applyAlignment="1" applyProtection="1">
      <alignment horizontal="left"/>
    </xf>
    <xf numFmtId="0" fontId="0" fillId="0" borderId="7" xfId="0" applyBorder="1" applyProtection="1"/>
    <xf numFmtId="0" fontId="0" fillId="0" borderId="9" xfId="0" applyBorder="1" applyProtection="1"/>
    <xf numFmtId="0" fontId="29" fillId="0" borderId="12" xfId="0" applyFont="1" applyBorder="1" applyProtection="1"/>
    <xf numFmtId="2" fontId="1" fillId="0" borderId="0" xfId="0" applyNumberFormat="1" applyFont="1" applyBorder="1" applyProtection="1"/>
    <xf numFmtId="165" fontId="4" fillId="0" borderId="0" xfId="0" applyNumberFormat="1" applyFont="1" applyBorder="1" applyAlignment="1" applyProtection="1">
      <alignment horizontal="center"/>
    </xf>
    <xf numFmtId="0" fontId="1" fillId="3" borderId="12" xfId="0" applyFont="1" applyFill="1" applyBorder="1" applyAlignment="1" applyProtection="1">
      <alignment horizontal="left"/>
    </xf>
    <xf numFmtId="0" fontId="1" fillId="3" borderId="0" xfId="0" applyFont="1" applyFill="1" applyBorder="1" applyAlignment="1" applyProtection="1">
      <alignment horizontal="left"/>
    </xf>
    <xf numFmtId="0" fontId="1" fillId="3" borderId="8" xfId="0" applyFont="1" applyFill="1" applyBorder="1" applyAlignment="1" applyProtection="1">
      <alignment horizontal="left"/>
    </xf>
    <xf numFmtId="0" fontId="30" fillId="0" borderId="10" xfId="0" applyFont="1" applyBorder="1" applyProtection="1"/>
    <xf numFmtId="165" fontId="4" fillId="0" borderId="7" xfId="0" applyNumberFormat="1" applyFont="1" applyBorder="1" applyProtection="1"/>
    <xf numFmtId="0" fontId="4" fillId="0" borderId="0" xfId="0" applyFont="1" applyAlignment="1" applyProtection="1">
      <alignment horizontal="right"/>
    </xf>
    <xf numFmtId="0" fontId="0" fillId="0" borderId="0" xfId="0" applyAlignment="1" applyProtection="1">
      <alignment horizontal="right"/>
    </xf>
    <xf numFmtId="0" fontId="4" fillId="0" borderId="18" xfId="0" applyFont="1" applyBorder="1" applyAlignment="1" applyProtection="1">
      <alignment horizontal="right" vertical="center"/>
    </xf>
    <xf numFmtId="0" fontId="4" fillId="0" borderId="18" xfId="0" applyFont="1" applyBorder="1" applyAlignment="1" applyProtection="1">
      <alignment vertical="center"/>
    </xf>
    <xf numFmtId="0" fontId="4" fillId="0" borderId="18" xfId="0" applyFont="1" applyBorder="1" applyProtection="1"/>
    <xf numFmtId="165" fontId="20" fillId="0" borderId="0" xfId="0" applyNumberFormat="1" applyFont="1" applyBorder="1" applyProtection="1"/>
    <xf numFmtId="0" fontId="10" fillId="0" borderId="16" xfId="0" applyFont="1" applyBorder="1" applyProtection="1"/>
    <xf numFmtId="0" fontId="31" fillId="0" borderId="0" xfId="0" applyFont="1" applyBorder="1" applyProtection="1"/>
    <xf numFmtId="0" fontId="32" fillId="0" borderId="0" xfId="0" applyFont="1" applyAlignment="1" applyProtection="1">
      <alignment horizontal="right"/>
    </xf>
    <xf numFmtId="0" fontId="33" fillId="0" borderId="12" xfId="0" applyFont="1" applyBorder="1" applyProtection="1"/>
    <xf numFmtId="0" fontId="32" fillId="0" borderId="0" xfId="0" applyFont="1" applyBorder="1" applyAlignment="1" applyProtection="1">
      <alignment horizontal="right"/>
    </xf>
    <xf numFmtId="165" fontId="20" fillId="0" borderId="18" xfId="0" applyNumberFormat="1" applyFont="1" applyBorder="1" applyProtection="1"/>
    <xf numFmtId="0" fontId="6" fillId="0" borderId="0" xfId="0" applyFont="1" applyBorder="1" applyAlignment="1" applyProtection="1">
      <alignment horizontal="right" vertical="center"/>
    </xf>
    <xf numFmtId="0" fontId="34" fillId="0" borderId="0" xfId="0" applyFont="1" applyBorder="1" applyProtection="1"/>
    <xf numFmtId="0" fontId="6" fillId="0" borderId="26" xfId="0" applyFont="1" applyBorder="1" applyProtection="1"/>
    <xf numFmtId="164" fontId="13" fillId="0" borderId="18" xfId="0" applyNumberFormat="1" applyFont="1" applyBorder="1" applyAlignment="1" applyProtection="1">
      <alignment horizontal="left"/>
    </xf>
    <xf numFmtId="0" fontId="1" fillId="2" borderId="16" xfId="0" applyFont="1" applyFill="1" applyBorder="1" applyAlignment="1" applyProtection="1"/>
    <xf numFmtId="0" fontId="1" fillId="2" borderId="10" xfId="0" applyFont="1" applyFill="1" applyBorder="1" applyAlignment="1" applyProtection="1"/>
    <xf numFmtId="0" fontId="3" fillId="0" borderId="0" xfId="0" applyFont="1" applyAlignment="1" applyProtection="1">
      <alignment horizontal="center"/>
    </xf>
    <xf numFmtId="0" fontId="13" fillId="0" borderId="0" xfId="0" applyFont="1" applyBorder="1" applyAlignment="1" applyProtection="1">
      <alignment horizontal="left" vertical="top" wrapText="1"/>
    </xf>
    <xf numFmtId="0" fontId="4" fillId="0" borderId="0" xfId="0" applyFont="1" applyBorder="1" applyAlignment="1" applyProtection="1">
      <alignment horizontal="left"/>
    </xf>
    <xf numFmtId="0" fontId="36" fillId="0" borderId="0" xfId="0" applyFont="1" applyBorder="1" applyAlignment="1" applyProtection="1">
      <alignment horizontal="left"/>
    </xf>
    <xf numFmtId="0" fontId="32" fillId="0" borderId="7" xfId="0" quotePrefix="1" applyFont="1" applyBorder="1" applyAlignment="1">
      <alignment horizontal="justify" vertical="center" wrapText="1"/>
    </xf>
    <xf numFmtId="0" fontId="32" fillId="0" borderId="0" xfId="0" quotePrefix="1" applyFont="1" applyBorder="1" applyAlignment="1">
      <alignment horizontal="justify" vertical="center" wrapText="1"/>
    </xf>
    <xf numFmtId="0" fontId="32" fillId="0" borderId="0" xfId="0" applyFont="1" applyBorder="1" applyAlignment="1">
      <alignment horizontal="center" vertical="center" wrapText="1"/>
    </xf>
    <xf numFmtId="0" fontId="32" fillId="0" borderId="9" xfId="0" quotePrefix="1" applyFont="1" applyBorder="1" applyAlignment="1">
      <alignment horizontal="justify" vertical="center" wrapText="1"/>
    </xf>
    <xf numFmtId="0" fontId="40" fillId="0" borderId="7" xfId="0" applyFont="1" applyBorder="1"/>
    <xf numFmtId="0" fontId="40" fillId="0" borderId="0" xfId="0" quotePrefix="1" applyFont="1" applyAlignment="1">
      <alignment horizontal="right"/>
    </xf>
    <xf numFmtId="0" fontId="40" fillId="0" borderId="0" xfId="0" quotePrefix="1" applyFont="1" applyBorder="1" applyAlignment="1">
      <alignment horizontal="right"/>
    </xf>
    <xf numFmtId="0" fontId="43" fillId="0" borderId="29" xfId="0" applyFont="1" applyBorder="1" applyAlignment="1">
      <alignment horizontal="left"/>
    </xf>
    <xf numFmtId="0" fontId="47" fillId="0" borderId="0" xfId="0" quotePrefix="1" applyFont="1"/>
    <xf numFmtId="0" fontId="48" fillId="0" borderId="0" xfId="0" quotePrefix="1" applyFont="1"/>
    <xf numFmtId="0" fontId="45" fillId="0" borderId="9" xfId="0" applyFont="1" applyBorder="1"/>
    <xf numFmtId="0" fontId="48" fillId="0" borderId="10" xfId="0" quotePrefix="1" applyFont="1" applyBorder="1"/>
    <xf numFmtId="0" fontId="45" fillId="0" borderId="17" xfId="0" applyFont="1" applyBorder="1"/>
    <xf numFmtId="0" fontId="45" fillId="0" borderId="13" xfId="0" applyFont="1" applyBorder="1"/>
    <xf numFmtId="0" fontId="45" fillId="0" borderId="0" xfId="0" applyFont="1" applyBorder="1"/>
    <xf numFmtId="0" fontId="43" fillId="0" borderId="13" xfId="0" applyFont="1" applyBorder="1" applyAlignment="1">
      <alignment horizontal="left"/>
    </xf>
    <xf numFmtId="0" fontId="32" fillId="0" borderId="10" xfId="0" quotePrefix="1" applyFont="1" applyBorder="1" applyAlignment="1">
      <alignment horizontal="justify" vertical="center" wrapText="1"/>
    </xf>
    <xf numFmtId="0" fontId="3" fillId="0" borderId="0" xfId="0" applyFont="1" applyBorder="1"/>
    <xf numFmtId="0" fontId="0" fillId="0" borderId="24" xfId="0" applyBorder="1" applyProtection="1"/>
    <xf numFmtId="0" fontId="32" fillId="0" borderId="24" xfId="0" applyFont="1" applyBorder="1" applyAlignment="1">
      <alignment horizontal="right" vertical="center" wrapText="1"/>
    </xf>
    <xf numFmtId="165" fontId="4" fillId="0" borderId="24" xfId="0" applyNumberFormat="1" applyFont="1" applyBorder="1" applyAlignment="1" applyProtection="1">
      <alignment horizontal="right"/>
    </xf>
    <xf numFmtId="165" fontId="4" fillId="0" borderId="32" xfId="0" applyNumberFormat="1" applyFont="1" applyBorder="1" applyProtection="1"/>
    <xf numFmtId="0" fontId="0" fillId="0" borderId="13" xfId="0" applyBorder="1" applyProtection="1"/>
    <xf numFmtId="0" fontId="32" fillId="0" borderId="29" xfId="0" applyFont="1" applyBorder="1" applyAlignment="1">
      <alignment horizontal="center" vertical="center" wrapText="1"/>
    </xf>
    <xf numFmtId="0" fontId="30" fillId="0" borderId="0" xfId="0" applyFont="1" applyBorder="1" applyProtection="1"/>
    <xf numFmtId="164" fontId="27" fillId="0" borderId="10" xfId="0" applyNumberFormat="1" applyFont="1" applyBorder="1" applyAlignment="1" applyProtection="1">
      <alignment horizontal="left"/>
    </xf>
    <xf numFmtId="168" fontId="27" fillId="0" borderId="0" xfId="0" applyNumberFormat="1" applyFont="1" applyBorder="1" applyAlignment="1" applyProtection="1">
      <alignment vertical="center"/>
    </xf>
    <xf numFmtId="0" fontId="1" fillId="0" borderId="16" xfId="0" applyFont="1" applyBorder="1" applyProtection="1"/>
    <xf numFmtId="0" fontId="4" fillId="0" borderId="10" xfId="0" applyFont="1" applyBorder="1" applyProtection="1"/>
    <xf numFmtId="0" fontId="1" fillId="0" borderId="0" xfId="0" applyFont="1" applyBorder="1" applyProtection="1"/>
    <xf numFmtId="0" fontId="50" fillId="0" borderId="12" xfId="0" applyFont="1" applyBorder="1" applyAlignment="1" applyProtection="1">
      <alignment wrapText="1"/>
    </xf>
    <xf numFmtId="0" fontId="50" fillId="0" borderId="0" xfId="0" applyFont="1" applyBorder="1" applyAlignment="1" applyProtection="1">
      <alignment wrapText="1"/>
    </xf>
    <xf numFmtId="0" fontId="1" fillId="0" borderId="10" xfId="0" applyFont="1" applyBorder="1" applyProtection="1"/>
    <xf numFmtId="0" fontId="0" fillId="4" borderId="9" xfId="0" applyFill="1" applyBorder="1" applyProtection="1"/>
    <xf numFmtId="0" fontId="0" fillId="4" borderId="10" xfId="0" applyFill="1" applyBorder="1" applyProtection="1"/>
    <xf numFmtId="0" fontId="1" fillId="4" borderId="10" xfId="0" applyFont="1" applyFill="1" applyBorder="1" applyAlignment="1" applyProtection="1">
      <alignment horizontal="center"/>
    </xf>
    <xf numFmtId="0" fontId="0" fillId="5" borderId="9" xfId="0" applyFill="1" applyBorder="1" applyProtection="1"/>
    <xf numFmtId="0" fontId="0" fillId="5" borderId="10" xfId="0" applyFill="1" applyBorder="1" applyProtection="1"/>
    <xf numFmtId="0" fontId="1" fillId="5" borderId="10" xfId="0" applyFont="1" applyFill="1" applyBorder="1" applyAlignment="1" applyProtection="1">
      <alignment horizontal="center"/>
    </xf>
    <xf numFmtId="0" fontId="10" fillId="5" borderId="16" xfId="0" applyFont="1" applyFill="1" applyBorder="1" applyProtection="1"/>
    <xf numFmtId="0" fontId="4" fillId="5" borderId="10" xfId="0" applyFont="1" applyFill="1" applyBorder="1" applyAlignment="1" applyProtection="1">
      <alignment vertical="center"/>
    </xf>
    <xf numFmtId="0" fontId="20" fillId="5" borderId="10" xfId="0" applyFont="1" applyFill="1" applyBorder="1" applyAlignment="1" applyProtection="1">
      <alignment horizontal="center" vertical="center"/>
    </xf>
    <xf numFmtId="164" fontId="21" fillId="5" borderId="10" xfId="0" applyNumberFormat="1" applyFont="1" applyFill="1" applyBorder="1" applyAlignment="1" applyProtection="1">
      <alignment horizontal="left"/>
    </xf>
    <xf numFmtId="0" fontId="22" fillId="5" borderId="10" xfId="0" applyFont="1" applyFill="1" applyBorder="1" applyAlignment="1" applyProtection="1">
      <alignment horizontal="left" vertical="center"/>
    </xf>
    <xf numFmtId="0" fontId="12" fillId="0" borderId="32" xfId="0" applyFont="1" applyBorder="1" applyProtection="1"/>
    <xf numFmtId="0" fontId="51" fillId="0" borderId="29" xfId="0" applyFont="1" applyBorder="1" applyAlignment="1">
      <alignment horizontal="right" vertical="center" wrapText="1"/>
    </xf>
    <xf numFmtId="0" fontId="4" fillId="0" borderId="30" xfId="0" applyFont="1" applyBorder="1" applyAlignment="1">
      <alignment horizontal="right" vertical="center" wrapText="1"/>
    </xf>
    <xf numFmtId="4" fontId="53" fillId="3" borderId="1" xfId="0" applyNumberFormat="1" applyFont="1" applyFill="1" applyBorder="1" applyAlignment="1">
      <alignment horizontal="right"/>
    </xf>
    <xf numFmtId="0" fontId="51" fillId="3" borderId="1" xfId="0" applyFont="1" applyFill="1" applyBorder="1" applyAlignment="1">
      <alignment horizontal="center" vertical="center" wrapText="1"/>
    </xf>
    <xf numFmtId="0" fontId="4" fillId="3" borderId="18" xfId="0" applyFont="1" applyFill="1" applyBorder="1" applyAlignment="1" applyProtection="1">
      <alignment vertical="center"/>
    </xf>
    <xf numFmtId="0" fontId="51" fillId="0" borderId="33" xfId="0" applyFont="1" applyBorder="1" applyAlignment="1">
      <alignment horizontal="left" vertical="center" wrapText="1"/>
    </xf>
    <xf numFmtId="0" fontId="51" fillId="0" borderId="34" xfId="0" applyFont="1" applyBorder="1" applyAlignment="1">
      <alignment horizontal="left" vertical="center" wrapText="1"/>
    </xf>
    <xf numFmtId="0" fontId="51" fillId="0" borderId="6" xfId="0" applyFont="1" applyBorder="1" applyAlignment="1">
      <alignment horizontal="left" vertical="center" wrapText="1"/>
    </xf>
    <xf numFmtId="0" fontId="51" fillId="0" borderId="35" xfId="0" applyFont="1" applyBorder="1" applyAlignment="1">
      <alignment horizontal="left" vertical="center" wrapText="1"/>
    </xf>
    <xf numFmtId="0" fontId="51" fillId="0" borderId="1" xfId="0" applyFont="1" applyBorder="1" applyAlignment="1">
      <alignment horizontal="right" vertical="center" wrapText="1"/>
    </xf>
    <xf numFmtId="0" fontId="51" fillId="0" borderId="31" xfId="0" applyFont="1" applyBorder="1" applyAlignment="1">
      <alignment horizontal="right" vertical="center" wrapText="1"/>
    </xf>
    <xf numFmtId="0" fontId="51" fillId="0" borderId="30" xfId="0" applyFont="1" applyBorder="1" applyAlignment="1">
      <alignment horizontal="right" vertical="center" wrapText="1"/>
    </xf>
    <xf numFmtId="0" fontId="51" fillId="0" borderId="15" xfId="0" applyFont="1" applyBorder="1" applyAlignment="1">
      <alignment horizontal="left" vertical="center" wrapText="1"/>
    </xf>
    <xf numFmtId="0" fontId="51" fillId="0" borderId="12" xfId="0" applyFont="1" applyBorder="1" applyAlignment="1">
      <alignment horizontal="left" vertical="center" wrapText="1"/>
    </xf>
    <xf numFmtId="0" fontId="54" fillId="0" borderId="33" xfId="0" applyFont="1" applyBorder="1" applyAlignment="1">
      <alignment horizontal="left" vertical="center" wrapText="1"/>
    </xf>
    <xf numFmtId="0" fontId="4" fillId="0" borderId="33" xfId="0" applyFont="1" applyBorder="1" applyAlignment="1">
      <alignment horizontal="justify" vertical="center" wrapText="1"/>
    </xf>
    <xf numFmtId="0" fontId="4" fillId="0" borderId="24" xfId="0" quotePrefix="1" applyFont="1" applyBorder="1" applyAlignment="1" applyProtection="1">
      <alignment horizontal="right"/>
    </xf>
    <xf numFmtId="0" fontId="4" fillId="0" borderId="24" xfId="0" quotePrefix="1" applyFont="1" applyBorder="1" applyAlignment="1">
      <alignment horizontal="right" vertical="center" wrapText="1"/>
    </xf>
    <xf numFmtId="0" fontId="4" fillId="0" borderId="0" xfId="0" quotePrefix="1" applyFont="1" applyBorder="1" applyAlignment="1">
      <alignment horizontal="right"/>
    </xf>
    <xf numFmtId="0" fontId="4" fillId="0" borderId="23" xfId="0" quotePrefix="1" applyFont="1" applyBorder="1" applyAlignment="1">
      <alignment horizontal="right"/>
    </xf>
    <xf numFmtId="0" fontId="4" fillId="0" borderId="0" xfId="0" quotePrefix="1" applyFont="1" applyAlignment="1">
      <alignment horizontal="right"/>
    </xf>
    <xf numFmtId="0" fontId="4" fillId="0" borderId="10" xfId="0" quotePrefix="1" applyFont="1" applyBorder="1" applyAlignment="1">
      <alignment horizontal="right"/>
    </xf>
    <xf numFmtId="0" fontId="60" fillId="0" borderId="10" xfId="0" quotePrefix="1" applyFont="1" applyBorder="1" applyAlignment="1">
      <alignment horizontal="right"/>
    </xf>
    <xf numFmtId="0" fontId="58" fillId="0" borderId="0" xfId="0" applyFont="1" applyBorder="1" applyAlignment="1" applyProtection="1">
      <alignment horizontal="right"/>
    </xf>
    <xf numFmtId="0" fontId="51" fillId="3" borderId="29" xfId="0" applyFont="1" applyFill="1" applyBorder="1" applyAlignment="1">
      <alignment horizontal="center" vertical="center" wrapText="1"/>
    </xf>
    <xf numFmtId="0" fontId="51" fillId="3" borderId="31" xfId="0" applyFont="1" applyFill="1" applyBorder="1" applyAlignment="1">
      <alignment horizontal="center" vertical="center" wrapText="1"/>
    </xf>
    <xf numFmtId="0" fontId="51" fillId="3" borderId="30" xfId="0" applyFont="1" applyFill="1" applyBorder="1" applyAlignment="1">
      <alignment horizontal="center" vertical="center" wrapText="1"/>
    </xf>
    <xf numFmtId="0" fontId="61" fillId="0" borderId="33" xfId="0" applyFont="1" applyBorder="1" applyAlignment="1">
      <alignment horizontal="left" vertical="center" wrapText="1"/>
    </xf>
    <xf numFmtId="0" fontId="61" fillId="0" borderId="34" xfId="0" applyFont="1" applyBorder="1" applyAlignment="1">
      <alignment horizontal="left" vertical="center" wrapText="1"/>
    </xf>
    <xf numFmtId="168" fontId="13" fillId="0" borderId="32" xfId="0" applyNumberFormat="1" applyFont="1" applyBorder="1" applyAlignment="1">
      <alignment horizontal="right"/>
    </xf>
    <xf numFmtId="168" fontId="13" fillId="0" borderId="24" xfId="0" applyNumberFormat="1" applyFont="1" applyBorder="1" applyAlignment="1">
      <alignment horizontal="right"/>
    </xf>
    <xf numFmtId="168" fontId="13" fillId="0" borderId="23" xfId="0" applyNumberFormat="1" applyFont="1" applyBorder="1" applyAlignment="1">
      <alignment horizontal="right"/>
    </xf>
    <xf numFmtId="0" fontId="4" fillId="0" borderId="31" xfId="0" applyFont="1" applyBorder="1" applyAlignment="1">
      <alignment horizontal="right" vertical="center" wrapText="1"/>
    </xf>
    <xf numFmtId="2" fontId="4" fillId="0" borderId="31" xfId="0" applyNumberFormat="1" applyFont="1" applyBorder="1" applyAlignment="1">
      <alignment horizontal="right" vertical="center" wrapText="1"/>
    </xf>
    <xf numFmtId="2" fontId="4" fillId="0" borderId="30" xfId="0" applyNumberFormat="1" applyFont="1" applyBorder="1" applyAlignment="1">
      <alignment horizontal="right" vertical="center" wrapText="1"/>
    </xf>
    <xf numFmtId="0" fontId="4" fillId="0" borderId="24" xfId="0" applyFont="1" applyBorder="1" applyAlignment="1" applyProtection="1">
      <alignment horizontal="right"/>
    </xf>
    <xf numFmtId="0" fontId="4" fillId="0" borderId="24" xfId="0" applyFont="1" applyBorder="1" applyAlignment="1">
      <alignment horizontal="right" vertical="center" wrapText="1"/>
    </xf>
    <xf numFmtId="2" fontId="4" fillId="0" borderId="23" xfId="0" applyNumberFormat="1" applyFont="1" applyBorder="1" applyAlignment="1">
      <alignment horizontal="right" vertical="center" wrapText="1"/>
    </xf>
    <xf numFmtId="0" fontId="4" fillId="3" borderId="31" xfId="0" applyFont="1" applyFill="1" applyBorder="1" applyAlignment="1">
      <alignment horizontal="right"/>
    </xf>
    <xf numFmtId="0" fontId="4" fillId="0" borderId="31" xfId="0" applyFont="1" applyBorder="1" applyAlignment="1">
      <alignment horizontal="right"/>
    </xf>
    <xf numFmtId="2" fontId="4" fillId="0" borderId="31" xfId="0" applyNumberFormat="1" applyFont="1" applyBorder="1" applyAlignment="1">
      <alignment horizontal="right"/>
    </xf>
    <xf numFmtId="168" fontId="4" fillId="0" borderId="31" xfId="0" applyNumberFormat="1" applyFont="1" applyBorder="1" applyAlignment="1">
      <alignment horizontal="right"/>
    </xf>
    <xf numFmtId="173" fontId="4" fillId="0" borderId="31" xfId="0" applyNumberFormat="1" applyFont="1" applyBorder="1" applyAlignment="1">
      <alignment horizontal="right"/>
    </xf>
    <xf numFmtId="173" fontId="4" fillId="0" borderId="30" xfId="0" applyNumberFormat="1" applyFont="1" applyBorder="1" applyAlignment="1">
      <alignment horizontal="right"/>
    </xf>
    <xf numFmtId="2" fontId="1" fillId="0" borderId="1" xfId="0" applyNumberFormat="1" applyFont="1" applyBorder="1" applyAlignment="1">
      <alignment horizontal="right"/>
    </xf>
    <xf numFmtId="2" fontId="4" fillId="0" borderId="29" xfId="0" applyNumberFormat="1" applyFont="1" applyBorder="1" applyAlignment="1">
      <alignment horizontal="right"/>
    </xf>
    <xf numFmtId="2" fontId="4" fillId="0" borderId="30" xfId="0" applyNumberFormat="1" applyFont="1" applyBorder="1" applyAlignment="1">
      <alignment horizontal="right"/>
    </xf>
    <xf numFmtId="0" fontId="63" fillId="0" borderId="9" xfId="0" applyFont="1" applyBorder="1"/>
    <xf numFmtId="0" fontId="6" fillId="0" borderId="7" xfId="0" applyFont="1" applyBorder="1"/>
    <xf numFmtId="0" fontId="6" fillId="0" borderId="9" xfId="0" applyFont="1" applyBorder="1"/>
    <xf numFmtId="0" fontId="4" fillId="0" borderId="13" xfId="0" applyFont="1" applyBorder="1" applyProtection="1"/>
    <xf numFmtId="0" fontId="53" fillId="0" borderId="7" xfId="0" applyFont="1" applyBorder="1"/>
    <xf numFmtId="0" fontId="1" fillId="5" borderId="28" xfId="0" applyFont="1" applyFill="1" applyBorder="1" applyAlignment="1" applyProtection="1">
      <alignment horizontal="right" vertical="center"/>
    </xf>
    <xf numFmtId="0" fontId="1" fillId="5" borderId="28" xfId="0" applyFont="1" applyFill="1" applyBorder="1" applyAlignment="1" applyProtection="1">
      <alignment vertical="center"/>
    </xf>
    <xf numFmtId="0" fontId="1" fillId="5" borderId="28" xfId="0" applyFont="1" applyFill="1" applyBorder="1" applyAlignment="1" applyProtection="1">
      <alignment horizontal="right"/>
    </xf>
    <xf numFmtId="164" fontId="13" fillId="5" borderId="28" xfId="0" applyNumberFormat="1" applyFont="1" applyFill="1" applyBorder="1" applyAlignment="1" applyProtection="1">
      <alignment horizontal="left"/>
    </xf>
    <xf numFmtId="165" fontId="4" fillId="5" borderId="28" xfId="0" applyNumberFormat="1" applyFont="1" applyFill="1" applyBorder="1" applyProtection="1"/>
    <xf numFmtId="165" fontId="4" fillId="5" borderId="28" xfId="0" applyNumberFormat="1" applyFont="1" applyFill="1" applyBorder="1" applyAlignment="1" applyProtection="1">
      <alignment horizontal="center" vertical="center"/>
    </xf>
    <xf numFmtId="0" fontId="1" fillId="5" borderId="16" xfId="0" applyFont="1" applyFill="1" applyBorder="1" applyProtection="1"/>
    <xf numFmtId="0" fontId="4" fillId="5" borderId="10" xfId="0" applyFont="1" applyFill="1" applyBorder="1" applyProtection="1"/>
    <xf numFmtId="0" fontId="13" fillId="5" borderId="10" xfId="0" applyFont="1" applyFill="1" applyBorder="1" applyAlignment="1" applyProtection="1">
      <alignment vertical="top" wrapText="1"/>
    </xf>
    <xf numFmtId="164" fontId="13" fillId="0" borderId="0" xfId="0" applyNumberFormat="1" applyFont="1" applyBorder="1" applyAlignment="1" applyProtection="1">
      <alignment vertical="center"/>
    </xf>
    <xf numFmtId="164" fontId="13" fillId="0" borderId="0" xfId="0" applyNumberFormat="1" applyFont="1" applyBorder="1" applyAlignment="1" applyProtection="1">
      <alignment horizontal="right"/>
    </xf>
    <xf numFmtId="168" fontId="13" fillId="0" borderId="0" xfId="0" applyNumberFormat="1" applyFont="1" applyBorder="1" applyAlignment="1" applyProtection="1">
      <alignment vertical="center"/>
    </xf>
    <xf numFmtId="0" fontId="4" fillId="0" borderId="0" xfId="0" quotePrefix="1" applyFont="1" applyProtection="1"/>
    <xf numFmtId="0" fontId="4" fillId="0" borderId="0" xfId="0" quotePrefix="1" applyFont="1" applyBorder="1" applyAlignment="1" applyProtection="1">
      <alignment horizontal="right"/>
    </xf>
    <xf numFmtId="0" fontId="0" fillId="0" borderId="18" xfId="0" applyBorder="1" applyProtection="1"/>
    <xf numFmtId="0" fontId="4" fillId="0" borderId="0" xfId="0" applyFont="1" applyBorder="1" applyAlignment="1" applyProtection="1">
      <alignment horizontal="left" vertical="top"/>
    </xf>
    <xf numFmtId="0" fontId="6" fillId="0" borderId="10" xfId="0" applyFont="1" applyBorder="1" applyProtection="1"/>
    <xf numFmtId="0" fontId="1" fillId="0" borderId="10" xfId="0" applyFont="1" applyBorder="1" applyAlignment="1" applyProtection="1"/>
    <xf numFmtId="164" fontId="62" fillId="0" borderId="0" xfId="0" applyNumberFormat="1" applyFont="1" applyBorder="1" applyAlignment="1" applyProtection="1">
      <alignment vertical="center"/>
    </xf>
    <xf numFmtId="164" fontId="62" fillId="0" borderId="10" xfId="0" applyNumberFormat="1" applyFont="1" applyBorder="1" applyAlignment="1" applyProtection="1">
      <alignment vertical="center"/>
    </xf>
    <xf numFmtId="0" fontId="3" fillId="0" borderId="0" xfId="0" applyFont="1" applyAlignment="1" applyProtection="1">
      <alignment horizontal="left"/>
    </xf>
    <xf numFmtId="164" fontId="3" fillId="0" borderId="0" xfId="0" applyNumberFormat="1" applyFont="1" applyBorder="1" applyAlignment="1" applyProtection="1">
      <alignment horizontal="right"/>
    </xf>
    <xf numFmtId="0" fontId="3" fillId="0" borderId="0" xfId="0" applyFont="1" applyAlignment="1" applyProtection="1">
      <alignment horizontal="right"/>
    </xf>
    <xf numFmtId="0" fontId="3" fillId="0" borderId="0" xfId="0" applyFont="1" applyBorder="1" applyAlignment="1" applyProtection="1">
      <alignment horizontal="right" vertical="center"/>
    </xf>
    <xf numFmtId="165" fontId="4" fillId="0" borderId="0" xfId="0" applyNumberFormat="1" applyFont="1" applyBorder="1" applyAlignment="1" applyProtection="1">
      <alignment horizontal="right"/>
    </xf>
    <xf numFmtId="169" fontId="4" fillId="0" borderId="0" xfId="0" applyNumberFormat="1" applyFont="1" applyBorder="1" applyAlignment="1" applyProtection="1">
      <alignment horizontal="left"/>
    </xf>
    <xf numFmtId="170" fontId="4" fillId="0" borderId="0" xfId="0" applyNumberFormat="1" applyFont="1" applyBorder="1" applyAlignment="1" applyProtection="1">
      <alignment horizontal="right" vertical="center"/>
    </xf>
    <xf numFmtId="165" fontId="4" fillId="0" borderId="12" xfId="0" applyNumberFormat="1" applyFont="1" applyBorder="1" applyAlignment="1" applyProtection="1">
      <alignment horizontal="center"/>
    </xf>
    <xf numFmtId="0" fontId="0" fillId="0" borderId="0" xfId="0" applyAlignment="1" applyProtection="1">
      <alignment horizontal="left"/>
    </xf>
    <xf numFmtId="174" fontId="0" fillId="0" borderId="0" xfId="0" applyNumberFormat="1" applyBorder="1" applyProtection="1"/>
    <xf numFmtId="175" fontId="4" fillId="0" borderId="0" xfId="0" applyNumberFormat="1" applyFont="1" applyFill="1" applyBorder="1" applyAlignment="1" applyProtection="1">
      <alignment horizontal="left" vertical="center"/>
    </xf>
    <xf numFmtId="164" fontId="4" fillId="3" borderId="0" xfId="0" applyNumberFormat="1" applyFont="1" applyFill="1" applyBorder="1" applyAlignment="1" applyProtection="1">
      <alignment horizontal="left"/>
    </xf>
    <xf numFmtId="171" fontId="4" fillId="3" borderId="0" xfId="0" applyNumberFormat="1" applyFont="1" applyFill="1" applyBorder="1" applyAlignment="1" applyProtection="1">
      <alignment horizontal="left"/>
    </xf>
    <xf numFmtId="164" fontId="27" fillId="3" borderId="24" xfId="0" applyNumberFormat="1" applyFont="1" applyFill="1" applyBorder="1" applyAlignment="1" applyProtection="1">
      <alignment horizontal="right"/>
    </xf>
    <xf numFmtId="164" fontId="4" fillId="0" borderId="24" xfId="0" applyNumberFormat="1" applyFont="1" applyBorder="1" applyAlignment="1" applyProtection="1">
      <alignment horizontal="left"/>
    </xf>
    <xf numFmtId="0" fontId="3" fillId="0" borderId="7" xfId="0" applyFont="1" applyBorder="1" applyAlignment="1" applyProtection="1">
      <alignment horizontal="right"/>
    </xf>
    <xf numFmtId="164" fontId="3" fillId="0" borderId="0" xfId="0" quotePrefix="1" applyNumberFormat="1" applyFont="1" applyBorder="1" applyAlignment="1" applyProtection="1">
      <alignment horizontal="right"/>
    </xf>
    <xf numFmtId="0" fontId="4" fillId="0" borderId="0" xfId="0" applyFont="1" applyAlignment="1" applyProtection="1">
      <alignment horizontal="left"/>
    </xf>
    <xf numFmtId="165" fontId="1" fillId="0" borderId="7" xfId="0" applyNumberFormat="1" applyFont="1" applyBorder="1" applyProtection="1"/>
    <xf numFmtId="0" fontId="0" fillId="0" borderId="12" xfId="0" applyBorder="1" applyAlignment="1" applyProtection="1">
      <alignment horizontal="right"/>
    </xf>
    <xf numFmtId="164" fontId="29" fillId="0" borderId="12" xfId="0" applyNumberFormat="1" applyFont="1" applyBorder="1" applyAlignment="1" applyProtection="1">
      <alignment horizontal="left"/>
    </xf>
    <xf numFmtId="165" fontId="51" fillId="0" borderId="12" xfId="0" applyNumberFormat="1" applyFont="1" applyBorder="1" applyAlignment="1" applyProtection="1">
      <alignment horizontal="center"/>
    </xf>
    <xf numFmtId="0" fontId="1" fillId="0" borderId="0" xfId="0" applyFont="1" applyFill="1" applyBorder="1" applyAlignment="1" applyProtection="1">
      <alignment horizontal="center"/>
    </xf>
    <xf numFmtId="0" fontId="0" fillId="0" borderId="7" xfId="0" applyFill="1" applyBorder="1" applyProtection="1"/>
    <xf numFmtId="0" fontId="66" fillId="0" borderId="0" xfId="0" applyFont="1" applyProtection="1"/>
    <xf numFmtId="0" fontId="6" fillId="0" borderId="12" xfId="0" applyFont="1" applyBorder="1" applyAlignment="1" applyProtection="1">
      <alignment horizontal="left" wrapText="1"/>
    </xf>
    <xf numFmtId="0" fontId="6" fillId="0" borderId="0" xfId="0" applyFont="1" applyBorder="1" applyAlignment="1" applyProtection="1">
      <alignment horizontal="left" wrapText="1"/>
    </xf>
    <xf numFmtId="0" fontId="0" fillId="0" borderId="0" xfId="0" applyAlignment="1" applyProtection="1">
      <alignment horizontal="center"/>
    </xf>
    <xf numFmtId="165" fontId="51" fillId="0" borderId="0" xfId="0" applyNumberFormat="1" applyFont="1" applyBorder="1" applyAlignment="1" applyProtection="1">
      <alignment horizontal="center"/>
    </xf>
    <xf numFmtId="165" fontId="51" fillId="0" borderId="0" xfId="0" applyNumberFormat="1" applyFont="1" applyBorder="1" applyAlignment="1" applyProtection="1">
      <alignment horizontal="center" vertical="center"/>
    </xf>
    <xf numFmtId="165" fontId="4" fillId="0" borderId="0" xfId="0" applyNumberFormat="1" applyFont="1" applyFill="1" applyBorder="1" applyAlignment="1" applyProtection="1">
      <alignment horizontal="center" vertical="center"/>
    </xf>
    <xf numFmtId="0" fontId="3" fillId="0" borderId="0" xfId="0" applyFont="1"/>
    <xf numFmtId="0" fontId="31" fillId="6" borderId="39" xfId="0" applyFont="1" applyFill="1" applyBorder="1"/>
    <xf numFmtId="2" fontId="3" fillId="0" borderId="8" xfId="0" applyNumberFormat="1" applyFont="1" applyBorder="1"/>
    <xf numFmtId="0" fontId="67" fillId="0" borderId="0" xfId="0" applyFont="1" applyProtection="1"/>
    <xf numFmtId="164" fontId="10" fillId="0" borderId="12" xfId="0" quotePrefix="1" applyNumberFormat="1" applyFont="1" applyBorder="1" applyAlignment="1">
      <alignment horizontal="left"/>
    </xf>
    <xf numFmtId="164" fontId="10" fillId="0" borderId="12" xfId="0" quotePrefix="1" applyNumberFormat="1" applyFont="1" applyBorder="1" applyAlignment="1" applyProtection="1">
      <alignment horizontal="left"/>
    </xf>
    <xf numFmtId="0" fontId="10" fillId="3" borderId="12" xfId="0" quotePrefix="1" applyFont="1" applyFill="1" applyBorder="1" applyAlignment="1" applyProtection="1">
      <alignment horizontal="left"/>
    </xf>
    <xf numFmtId="0" fontId="4" fillId="0" borderId="0" xfId="0" applyFont="1" applyBorder="1" applyAlignment="1">
      <alignment horizontal="right" vertical="center"/>
    </xf>
    <xf numFmtId="0" fontId="0" fillId="5" borderId="40" xfId="0" applyFill="1" applyBorder="1" applyProtection="1"/>
    <xf numFmtId="0" fontId="0" fillId="5" borderId="28" xfId="0" applyFill="1" applyBorder="1" applyProtection="1"/>
    <xf numFmtId="0" fontId="1" fillId="5" borderId="28" xfId="0" applyFont="1" applyFill="1" applyBorder="1" applyAlignment="1" applyProtection="1">
      <alignment horizontal="center"/>
    </xf>
    <xf numFmtId="0" fontId="1" fillId="5" borderId="27" xfId="0" quotePrefix="1" applyFont="1" applyFill="1" applyBorder="1"/>
    <xf numFmtId="0" fontId="3" fillId="5" borderId="28" xfId="0" applyFont="1" applyFill="1" applyBorder="1" applyAlignment="1" applyProtection="1">
      <alignment horizontal="right"/>
    </xf>
    <xf numFmtId="0" fontId="1" fillId="5" borderId="27" xfId="0" applyFont="1" applyFill="1" applyBorder="1" applyAlignment="1" applyProtection="1">
      <alignment horizontal="left"/>
    </xf>
    <xf numFmtId="0" fontId="1" fillId="5" borderId="28" xfId="0" applyFont="1" applyFill="1" applyBorder="1" applyAlignment="1" applyProtection="1">
      <alignment horizontal="left"/>
    </xf>
    <xf numFmtId="0" fontId="1" fillId="5" borderId="27" xfId="0" applyFont="1" applyFill="1" applyBorder="1" applyProtection="1"/>
    <xf numFmtId="0" fontId="10" fillId="4" borderId="27" xfId="0" applyFont="1" applyFill="1" applyBorder="1" applyProtection="1"/>
    <xf numFmtId="0" fontId="31" fillId="4" borderId="28" xfId="0" applyFont="1" applyFill="1" applyBorder="1" applyProtection="1"/>
    <xf numFmtId="165" fontId="4" fillId="4" borderId="28" xfId="0" applyNumberFormat="1" applyFont="1" applyFill="1" applyBorder="1" applyProtection="1"/>
    <xf numFmtId="165" fontId="4" fillId="4" borderId="28" xfId="0" applyNumberFormat="1" applyFont="1" applyFill="1" applyBorder="1" applyAlignment="1" applyProtection="1">
      <alignment horizontal="center" vertical="center"/>
    </xf>
    <xf numFmtId="0" fontId="1" fillId="4" borderId="28" xfId="0" applyFont="1" applyFill="1" applyBorder="1" applyAlignment="1" applyProtection="1">
      <alignment horizontal="right" vertical="center"/>
    </xf>
    <xf numFmtId="0" fontId="1" fillId="4" borderId="28" xfId="0" applyFont="1" applyFill="1" applyBorder="1" applyAlignment="1" applyProtection="1">
      <alignment vertical="center"/>
    </xf>
    <xf numFmtId="0" fontId="1" fillId="4" borderId="28" xfId="0" applyFont="1" applyFill="1" applyBorder="1" applyAlignment="1" applyProtection="1">
      <alignment horizontal="right"/>
    </xf>
    <xf numFmtId="164" fontId="13" fillId="4" borderId="28" xfId="0" applyNumberFormat="1" applyFont="1" applyFill="1" applyBorder="1" applyAlignment="1" applyProtection="1">
      <alignment horizontal="left"/>
    </xf>
    <xf numFmtId="0" fontId="1" fillId="0" borderId="13" xfId="0" applyFont="1" applyBorder="1" applyProtection="1"/>
    <xf numFmtId="0" fontId="13" fillId="0" borderId="13" xfId="0" applyFont="1" applyBorder="1" applyAlignment="1" applyProtection="1">
      <alignment horizontal="left" vertical="top" wrapText="1"/>
    </xf>
    <xf numFmtId="0" fontId="1" fillId="0" borderId="0" xfId="0" applyFont="1" applyBorder="1" applyAlignment="1" applyProtection="1"/>
    <xf numFmtId="0" fontId="13" fillId="0" borderId="0" xfId="0" applyFont="1" applyBorder="1" applyAlignment="1" applyProtection="1">
      <alignment horizontal="left" vertical="top" wrapText="1"/>
    </xf>
    <xf numFmtId="0" fontId="54" fillId="0" borderId="0" xfId="0" applyFont="1" applyAlignment="1">
      <alignment horizontal="left" vertical="top" wrapText="1"/>
    </xf>
    <xf numFmtId="164" fontId="13" fillId="0" borderId="12" xfId="0" applyNumberFormat="1" applyFont="1" applyBorder="1" applyAlignment="1">
      <alignment horizontal="left"/>
    </xf>
    <xf numFmtId="164" fontId="13" fillId="0" borderId="0" xfId="0" applyNumberFormat="1" applyFont="1" applyBorder="1" applyAlignment="1">
      <alignment horizontal="left"/>
    </xf>
    <xf numFmtId="164" fontId="13" fillId="0" borderId="0" xfId="0" quotePrefix="1" applyNumberFormat="1" applyFont="1" applyBorder="1" applyAlignment="1">
      <alignment horizontal="left"/>
    </xf>
    <xf numFmtId="0" fontId="54" fillId="0" borderId="0" xfId="0" applyFont="1" applyAlignment="1">
      <alignment horizontal="left"/>
    </xf>
    <xf numFmtId="0" fontId="1" fillId="5" borderId="28" xfId="0" applyFont="1" applyFill="1" applyBorder="1" applyAlignment="1" applyProtection="1">
      <alignment horizontal="center"/>
    </xf>
    <xf numFmtId="0" fontId="1" fillId="5" borderId="41" xfId="0" applyFont="1" applyFill="1" applyBorder="1" applyAlignment="1" applyProtection="1">
      <alignment horizontal="center"/>
    </xf>
    <xf numFmtId="0" fontId="1" fillId="2" borderId="16" xfId="0" applyFont="1" applyFill="1" applyBorder="1" applyAlignment="1" applyProtection="1">
      <alignment horizontal="left"/>
    </xf>
    <xf numFmtId="0" fontId="1" fillId="2" borderId="10" xfId="0" applyFont="1" applyFill="1" applyBorder="1" applyAlignment="1" applyProtection="1">
      <alignment horizontal="left"/>
    </xf>
    <xf numFmtId="0" fontId="1" fillId="2" borderId="11" xfId="0" applyFont="1" applyFill="1" applyBorder="1" applyAlignment="1" applyProtection="1">
      <alignment horizontal="left"/>
    </xf>
    <xf numFmtId="0" fontId="49" fillId="0" borderId="12" xfId="0" applyFont="1" applyBorder="1" applyAlignment="1" applyProtection="1">
      <alignment horizontal="left" vertical="top" wrapText="1"/>
    </xf>
    <xf numFmtId="0" fontId="49" fillId="0" borderId="0" xfId="0" applyFont="1" applyBorder="1" applyAlignment="1" applyProtection="1">
      <alignment horizontal="left" vertical="top" wrapText="1"/>
    </xf>
    <xf numFmtId="0" fontId="6" fillId="0" borderId="12" xfId="0" applyFont="1" applyBorder="1" applyAlignment="1" applyProtection="1">
      <alignment horizontal="left"/>
    </xf>
    <xf numFmtId="0" fontId="6" fillId="0" borderId="0" xfId="0" applyFont="1" applyBorder="1" applyAlignment="1" applyProtection="1">
      <alignment horizontal="left"/>
    </xf>
    <xf numFmtId="0" fontId="4" fillId="0" borderId="9" xfId="0" applyFont="1" applyBorder="1" applyAlignment="1" applyProtection="1">
      <alignment horizontal="right" vertical="center"/>
    </xf>
    <xf numFmtId="0" fontId="4" fillId="0" borderId="10" xfId="0" applyFont="1" applyBorder="1" applyAlignment="1" applyProtection="1">
      <alignment horizontal="right" vertical="center"/>
    </xf>
    <xf numFmtId="0" fontId="1" fillId="5" borderId="10" xfId="0" applyFont="1" applyFill="1" applyBorder="1" applyAlignment="1" applyProtection="1">
      <alignment horizontal="left"/>
    </xf>
    <xf numFmtId="0" fontId="1" fillId="5" borderId="26" xfId="0" applyFont="1" applyFill="1" applyBorder="1" applyAlignment="1">
      <alignment horizontal="left"/>
    </xf>
    <xf numFmtId="0" fontId="1" fillId="5" borderId="18" xfId="0" applyFont="1" applyFill="1" applyBorder="1" applyAlignment="1">
      <alignment horizontal="left"/>
    </xf>
    <xf numFmtId="0" fontId="1" fillId="5" borderId="19" xfId="0" applyFont="1" applyFill="1" applyBorder="1" applyAlignment="1">
      <alignment horizontal="left"/>
    </xf>
    <xf numFmtId="0" fontId="31" fillId="0" borderId="36"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8" xfId="0" applyFont="1" applyBorder="1" applyAlignment="1">
      <alignment horizontal="center" vertical="center" wrapText="1"/>
    </xf>
    <xf numFmtId="0" fontId="51" fillId="0" borderId="16" xfId="0" applyFont="1" applyBorder="1" applyAlignment="1">
      <alignment horizontal="left" vertical="center" wrapText="1"/>
    </xf>
    <xf numFmtId="0" fontId="51" fillId="0" borderId="10" xfId="0" applyFont="1" applyBorder="1" applyAlignment="1">
      <alignment horizontal="left" vertical="center" wrapText="1"/>
    </xf>
    <xf numFmtId="4" fontId="53" fillId="3" borderId="18" xfId="0" applyNumberFormat="1" applyFont="1" applyFill="1" applyBorder="1" applyAlignment="1">
      <alignment horizontal="right" wrapText="1"/>
    </xf>
    <xf numFmtId="4" fontId="53" fillId="3" borderId="19" xfId="0" applyNumberFormat="1" applyFont="1" applyFill="1" applyBorder="1" applyAlignment="1">
      <alignment horizontal="right" wrapText="1"/>
    </xf>
    <xf numFmtId="0" fontId="49" fillId="3" borderId="7" xfId="0" applyFont="1" applyFill="1" applyBorder="1" applyAlignment="1">
      <alignment horizontal="left" vertical="center" wrapText="1"/>
    </xf>
    <xf numFmtId="0" fontId="49" fillId="3" borderId="0" xfId="0" applyFont="1" applyFill="1" applyBorder="1" applyAlignment="1">
      <alignment horizontal="left" vertical="center" wrapText="1"/>
    </xf>
    <xf numFmtId="0" fontId="49" fillId="3" borderId="24" xfId="0" applyFont="1" applyFill="1" applyBorder="1" applyAlignment="1">
      <alignment horizontal="left" vertical="center" wrapText="1"/>
    </xf>
    <xf numFmtId="0" fontId="49" fillId="3" borderId="9" xfId="0" applyFont="1" applyFill="1" applyBorder="1" applyAlignment="1">
      <alignment horizontal="left" vertical="center" wrapText="1"/>
    </xf>
    <xf numFmtId="0" fontId="49" fillId="3" borderId="10" xfId="0" applyFont="1" applyFill="1" applyBorder="1" applyAlignment="1">
      <alignment horizontal="left" vertical="center" wrapText="1"/>
    </xf>
    <xf numFmtId="0" fontId="49" fillId="3" borderId="23" xfId="0" applyFont="1" applyFill="1" applyBorder="1" applyAlignment="1">
      <alignment horizontal="left" vertical="center" wrapText="1"/>
    </xf>
    <xf numFmtId="0" fontId="51" fillId="3" borderId="16" xfId="0" applyFont="1" applyFill="1" applyBorder="1" applyAlignment="1">
      <alignment horizontal="left" vertical="center" wrapText="1"/>
    </xf>
    <xf numFmtId="0" fontId="51" fillId="3" borderId="10" xfId="0" applyFont="1" applyFill="1" applyBorder="1" applyAlignment="1">
      <alignment horizontal="left" vertical="center" wrapText="1"/>
    </xf>
    <xf numFmtId="0" fontId="51" fillId="0" borderId="29" xfId="0" applyFont="1" applyBorder="1" applyAlignment="1">
      <alignment horizontal="center" vertical="center" wrapText="1"/>
    </xf>
    <xf numFmtId="0" fontId="51" fillId="0" borderId="30" xfId="0" applyFont="1" applyBorder="1" applyAlignment="1">
      <alignment horizontal="center" vertical="center" wrapText="1"/>
    </xf>
    <xf numFmtId="0" fontId="3" fillId="0" borderId="15" xfId="0" applyFont="1" applyBorder="1" applyAlignment="1" applyProtection="1">
      <alignment horizontal="right"/>
    </xf>
    <xf numFmtId="0" fontId="0" fillId="0" borderId="13" xfId="0" applyBorder="1" applyAlignment="1" applyProtection="1">
      <alignment horizontal="right"/>
    </xf>
    <xf numFmtId="0" fontId="0" fillId="0" borderId="14" xfId="0" applyBorder="1" applyAlignment="1" applyProtection="1">
      <alignment horizontal="right"/>
    </xf>
    <xf numFmtId="0" fontId="1" fillId="2" borderId="10" xfId="0" applyFont="1" applyFill="1" applyBorder="1" applyAlignment="1" applyProtection="1">
      <alignment horizontal="center"/>
    </xf>
    <xf numFmtId="0" fontId="1" fillId="2" borderId="11" xfId="0" applyFont="1" applyFill="1" applyBorder="1" applyAlignment="1" applyProtection="1">
      <alignment horizontal="center"/>
    </xf>
    <xf numFmtId="0" fontId="1" fillId="4" borderId="10" xfId="0" applyFont="1" applyFill="1" applyBorder="1" applyAlignment="1" applyProtection="1">
      <alignment horizontal="center"/>
    </xf>
    <xf numFmtId="0" fontId="1" fillId="0" borderId="0" xfId="0" applyFont="1" applyBorder="1" applyAlignment="1" applyProtection="1">
      <alignment horizontal="left" vertical="top" wrapText="1"/>
    </xf>
    <xf numFmtId="0" fontId="1" fillId="0" borderId="10" xfId="0" applyFont="1" applyBorder="1" applyAlignment="1" applyProtection="1">
      <alignment horizontal="left" vertical="top" wrapText="1"/>
    </xf>
    <xf numFmtId="0" fontId="49" fillId="0" borderId="25" xfId="0" applyFont="1" applyBorder="1" applyAlignment="1">
      <alignment horizontal="left" vertical="center" wrapText="1"/>
    </xf>
    <xf numFmtId="0" fontId="49" fillId="0" borderId="13" xfId="0" applyFont="1" applyBorder="1" applyAlignment="1">
      <alignment horizontal="left" vertical="center" wrapText="1"/>
    </xf>
    <xf numFmtId="0" fontId="49" fillId="0" borderId="32" xfId="0" applyFont="1" applyBorder="1" applyAlignment="1">
      <alignment horizontal="left" vertical="center" wrapText="1"/>
    </xf>
    <xf numFmtId="0" fontId="49" fillId="0" borderId="9" xfId="0" applyFont="1" applyBorder="1" applyAlignment="1">
      <alignment horizontal="left" vertical="center" wrapText="1"/>
    </xf>
    <xf numFmtId="0" fontId="49" fillId="0" borderId="10" xfId="0" applyFont="1" applyBorder="1" applyAlignment="1">
      <alignment horizontal="left" vertical="center" wrapText="1"/>
    </xf>
    <xf numFmtId="0" fontId="49" fillId="0" borderId="23" xfId="0" applyFont="1" applyBorder="1" applyAlignment="1">
      <alignment horizontal="left" vertical="center" wrapText="1"/>
    </xf>
    <xf numFmtId="0" fontId="1" fillId="5" borderId="16" xfId="0" applyFont="1" applyFill="1" applyBorder="1" applyAlignment="1">
      <alignment horizontal="left"/>
    </xf>
    <xf numFmtId="0" fontId="1" fillId="5" borderId="10" xfId="0" applyFont="1" applyFill="1" applyBorder="1" applyAlignment="1">
      <alignment horizontal="left"/>
    </xf>
    <xf numFmtId="0" fontId="13" fillId="0" borderId="0" xfId="0" applyFont="1" applyBorder="1" applyAlignment="1" applyProtection="1">
      <alignment horizontal="left" vertical="top" wrapText="1"/>
    </xf>
    <xf numFmtId="0" fontId="1" fillId="2" borderId="10" xfId="0" applyFont="1" applyFill="1" applyBorder="1" applyAlignment="1" applyProtection="1">
      <alignment horizontal="right"/>
    </xf>
    <xf numFmtId="0" fontId="1" fillId="2" borderId="11" xfId="0" applyFont="1" applyFill="1" applyBorder="1" applyAlignment="1" applyProtection="1">
      <alignment horizontal="right"/>
    </xf>
    <xf numFmtId="0" fontId="6" fillId="3" borderId="7" xfId="0" applyFont="1" applyFill="1" applyBorder="1" applyAlignment="1">
      <alignment horizontal="left" vertical="center" wrapText="1"/>
    </xf>
    <xf numFmtId="0" fontId="6" fillId="3" borderId="0" xfId="0" applyFont="1" applyFill="1" applyBorder="1" applyAlignment="1">
      <alignment horizontal="left" vertical="center" wrapText="1"/>
    </xf>
    <xf numFmtId="0" fontId="6" fillId="3" borderId="24" xfId="0" applyFont="1" applyFill="1" applyBorder="1" applyAlignment="1">
      <alignment horizontal="left" vertical="center" wrapText="1"/>
    </xf>
    <xf numFmtId="0" fontId="49" fillId="3" borderId="17" xfId="0" applyFont="1" applyFill="1" applyBorder="1" applyAlignment="1">
      <alignment horizontal="left" vertical="center" wrapText="1"/>
    </xf>
    <xf numFmtId="0" fontId="49" fillId="3" borderId="18" xfId="0" applyFont="1" applyFill="1" applyBorder="1" applyAlignment="1">
      <alignment horizontal="left" vertical="center" wrapText="1"/>
    </xf>
    <xf numFmtId="0" fontId="49" fillId="3" borderId="19" xfId="0" applyFont="1" applyFill="1" applyBorder="1" applyAlignment="1">
      <alignment horizontal="left" vertical="center" wrapText="1"/>
    </xf>
    <xf numFmtId="0" fontId="6" fillId="3" borderId="9"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6" fillId="3" borderId="23" xfId="0" applyFont="1" applyFill="1" applyBorder="1" applyAlignment="1">
      <alignment horizontal="left" vertical="center" wrapText="1"/>
    </xf>
    <xf numFmtId="0" fontId="4" fillId="0" borderId="10" xfId="0" quotePrefix="1" applyFont="1" applyBorder="1" applyAlignment="1">
      <alignment horizontal="right" vertical="center" wrapText="1"/>
    </xf>
    <xf numFmtId="0" fontId="4" fillId="0" borderId="23" xfId="0" quotePrefix="1" applyFont="1" applyBorder="1" applyAlignment="1">
      <alignment horizontal="right" vertical="center" wrapText="1"/>
    </xf>
    <xf numFmtId="0" fontId="4" fillId="0" borderId="18" xfId="0" quotePrefix="1" applyFont="1" applyBorder="1" applyAlignment="1">
      <alignment horizontal="right"/>
    </xf>
    <xf numFmtId="0" fontId="4" fillId="0" borderId="19" xfId="0" quotePrefix="1" applyFont="1" applyBorder="1" applyAlignment="1">
      <alignment horizontal="right"/>
    </xf>
    <xf numFmtId="0" fontId="4" fillId="0" borderId="25" xfId="0" quotePrefix="1" applyFont="1" applyBorder="1" applyAlignment="1">
      <alignment horizontal="right" vertical="center" wrapText="1"/>
    </xf>
    <xf numFmtId="0" fontId="32" fillId="0" borderId="13" xfId="0" quotePrefix="1" applyFont="1" applyBorder="1" applyAlignment="1">
      <alignment horizontal="right" vertical="center" wrapText="1"/>
    </xf>
    <xf numFmtId="0" fontId="32" fillId="0" borderId="32" xfId="0" quotePrefix="1" applyFont="1" applyBorder="1" applyAlignment="1">
      <alignment horizontal="right" vertical="center" wrapText="1"/>
    </xf>
    <xf numFmtId="0" fontId="4" fillId="0" borderId="9" xfId="0" quotePrefix="1" applyFont="1" applyBorder="1" applyAlignment="1">
      <alignment horizontal="right" vertical="center" wrapText="1"/>
    </xf>
    <xf numFmtId="0" fontId="32" fillId="0" borderId="10" xfId="0" quotePrefix="1" applyFont="1" applyBorder="1" applyAlignment="1">
      <alignment horizontal="right" vertical="center" wrapText="1"/>
    </xf>
    <xf numFmtId="0" fontId="32" fillId="0" borderId="23" xfId="0" quotePrefix="1" applyFont="1" applyBorder="1" applyAlignment="1">
      <alignment horizontal="right" vertical="center" wrapText="1"/>
    </xf>
    <xf numFmtId="0" fontId="4" fillId="0" borderId="7" xfId="0" quotePrefix="1" applyFont="1" applyBorder="1" applyAlignment="1">
      <alignment horizontal="right" vertical="center" wrapText="1"/>
    </xf>
    <xf numFmtId="0" fontId="32" fillId="0" borderId="0" xfId="0" quotePrefix="1" applyFont="1" applyBorder="1" applyAlignment="1">
      <alignment horizontal="right" vertical="center" wrapText="1"/>
    </xf>
    <xf numFmtId="0" fontId="32" fillId="0" borderId="24" xfId="0" quotePrefix="1" applyFont="1" applyBorder="1" applyAlignment="1">
      <alignment horizontal="right" vertical="center" wrapText="1"/>
    </xf>
    <xf numFmtId="0" fontId="32" fillId="0" borderId="9" xfId="0" quotePrefix="1" applyFont="1" applyBorder="1" applyAlignment="1">
      <alignment horizontal="right" vertical="center" wrapText="1"/>
    </xf>
    <xf numFmtId="0" fontId="4" fillId="0" borderId="0" xfId="0" applyFont="1" applyAlignment="1" applyProtection="1">
      <alignment horizontal="left" vertical="top" wrapText="1"/>
    </xf>
    <xf numFmtId="0" fontId="4" fillId="0" borderId="0" xfId="0" applyFont="1" applyAlignment="1" applyProtection="1">
      <alignment horizontal="left" vertical="top"/>
    </xf>
    <xf numFmtId="0" fontId="1" fillId="3" borderId="12" xfId="0" applyFont="1" applyFill="1" applyBorder="1" applyAlignment="1" applyProtection="1">
      <alignment horizontal="center" vertical="top" wrapText="1"/>
    </xf>
    <xf numFmtId="0" fontId="1" fillId="3" borderId="0" xfId="0" applyFont="1" applyFill="1" applyBorder="1" applyAlignment="1" applyProtection="1">
      <alignment horizontal="center" vertical="top"/>
    </xf>
    <xf numFmtId="0" fontId="1" fillId="3" borderId="8" xfId="0" applyFont="1" applyFill="1" applyBorder="1" applyAlignment="1" applyProtection="1">
      <alignment horizontal="center" vertical="top"/>
    </xf>
    <xf numFmtId="0" fontId="1" fillId="3" borderId="12" xfId="0" applyFont="1" applyFill="1" applyBorder="1" applyAlignment="1" applyProtection="1">
      <alignment horizontal="center" vertical="top"/>
    </xf>
    <xf numFmtId="0" fontId="6" fillId="0" borderId="12" xfId="0" applyFont="1" applyBorder="1" applyAlignment="1" applyProtection="1">
      <alignment horizontal="left" wrapText="1"/>
    </xf>
    <xf numFmtId="0" fontId="6" fillId="0" borderId="0" xfId="0" applyFont="1" applyBorder="1" applyAlignment="1" applyProtection="1">
      <alignment horizontal="left" wrapText="1"/>
    </xf>
    <xf numFmtId="0" fontId="31" fillId="0" borderId="24" xfId="0" applyFont="1" applyBorder="1" applyAlignment="1" applyProtection="1">
      <alignment horizontal="center" vertical="center"/>
    </xf>
    <xf numFmtId="0" fontId="31" fillId="0" borderId="23" xfId="0" applyFont="1" applyBorder="1" applyAlignment="1" applyProtection="1">
      <alignment horizontal="center" vertical="center"/>
    </xf>
    <xf numFmtId="0" fontId="31" fillId="0" borderId="32" xfId="0" applyFont="1" applyBorder="1" applyAlignment="1" applyProtection="1">
      <alignment horizontal="center" vertical="center"/>
    </xf>
    <xf numFmtId="0" fontId="1" fillId="0" borderId="10" xfId="0" applyFont="1" applyBorder="1" applyAlignment="1" applyProtection="1">
      <alignment horizontal="left" wrapText="1"/>
    </xf>
    <xf numFmtId="0" fontId="1" fillId="5" borderId="10" xfId="0" applyFont="1" applyFill="1" applyBorder="1" applyAlignment="1" applyProtection="1">
      <alignment horizontal="center"/>
    </xf>
    <xf numFmtId="0" fontId="65" fillId="0" borderId="0" xfId="0" applyFont="1" applyBorder="1" applyAlignment="1" applyProtection="1">
      <alignment horizontal="left" vertical="top" wrapText="1"/>
    </xf>
    <xf numFmtId="0" fontId="31" fillId="6" borderId="28" xfId="0" applyFont="1" applyFill="1" applyBorder="1" applyAlignment="1">
      <alignment horizontal="left"/>
    </xf>
    <xf numFmtId="0" fontId="2" fillId="0" borderId="20" xfId="0" quotePrefix="1"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17" xfId="0" quotePrefix="1" applyFont="1" applyBorder="1" applyAlignment="1" applyProtection="1">
      <alignment horizontal="left" vertical="center"/>
      <protection locked="0"/>
    </xf>
    <xf numFmtId="0" fontId="2" fillId="0" borderId="18"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2" fillId="0" borderId="1" xfId="0" quotePrefix="1" applyFont="1" applyBorder="1" applyAlignment="1" applyProtection="1">
      <alignment vertical="center"/>
      <protection locked="0"/>
    </xf>
    <xf numFmtId="14" fontId="2" fillId="0" borderId="17" xfId="0" quotePrefix="1" applyNumberFormat="1" applyFont="1" applyBorder="1" applyAlignment="1" applyProtection="1">
      <alignment horizontal="left" vertical="center"/>
      <protection locked="0"/>
    </xf>
    <xf numFmtId="1" fontId="1" fillId="3" borderId="0" xfId="0" applyNumberFormat="1" applyFont="1" applyFill="1" applyBorder="1" applyProtection="1"/>
    <xf numFmtId="1" fontId="1" fillId="0" borderId="0" xfId="0" applyNumberFormat="1" applyFont="1" applyFill="1" applyBorder="1" applyProtection="1"/>
  </cellXfs>
  <cellStyles count="1">
    <cellStyle name="Normal" xfId="0" builtinId="0"/>
  </cellStyles>
  <dxfs count="21">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s>
  <tableStyles count="0" defaultTableStyle="TableStyleMedium9"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eg"/><Relationship Id="rId7" Type="http://schemas.openxmlformats.org/officeDocument/2006/relationships/image" Target="../media/image7.jp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2</xdr:col>
      <xdr:colOff>1824156</xdr:colOff>
      <xdr:row>39</xdr:row>
      <xdr:rowOff>145676</xdr:rowOff>
    </xdr:from>
    <xdr:to>
      <xdr:col>4</xdr:col>
      <xdr:colOff>89193</xdr:colOff>
      <xdr:row>47</xdr:row>
      <xdr:rowOff>124437</xdr:rowOff>
    </xdr:to>
    <xdr:pic>
      <xdr:nvPicPr>
        <xdr:cNvPr id="50" name="Bilde 49">
          <a:extLst>
            <a:ext uri="{FF2B5EF4-FFF2-40B4-BE49-F238E27FC236}">
              <a16:creationId xmlns:a16="http://schemas.microsoft.com/office/drawing/2014/main" id="{6F48CDBE-0E2B-413D-8E5D-A62E2B1DA040}"/>
            </a:ext>
          </a:extLst>
        </xdr:cNvPr>
        <xdr:cNvPicPr>
          <a:picLocks noChangeAspect="1"/>
        </xdr:cNvPicPr>
      </xdr:nvPicPr>
      <xdr:blipFill>
        <a:blip xmlns:r="http://schemas.openxmlformats.org/officeDocument/2006/relationships" r:embed="rId1"/>
        <a:stretch>
          <a:fillRect/>
        </a:stretch>
      </xdr:blipFill>
      <xdr:spPr>
        <a:xfrm>
          <a:off x="3706744" y="9166411"/>
          <a:ext cx="2187096" cy="1592408"/>
        </a:xfrm>
        <a:prstGeom prst="rect">
          <a:avLst/>
        </a:prstGeom>
      </xdr:spPr>
    </xdr:pic>
    <xdr:clientData/>
  </xdr:twoCellAnchor>
  <xdr:twoCellAnchor editAs="oneCell">
    <xdr:from>
      <xdr:col>1</xdr:col>
      <xdr:colOff>247650</xdr:colOff>
      <xdr:row>23</xdr:row>
      <xdr:rowOff>0</xdr:rowOff>
    </xdr:from>
    <xdr:to>
      <xdr:col>1</xdr:col>
      <xdr:colOff>266700</xdr:colOff>
      <xdr:row>23</xdr:row>
      <xdr:rowOff>180975</xdr:rowOff>
    </xdr:to>
    <xdr:sp macro="" textlink="">
      <xdr:nvSpPr>
        <xdr:cNvPr id="17290" name="Text Box 88">
          <a:extLst>
            <a:ext uri="{FF2B5EF4-FFF2-40B4-BE49-F238E27FC236}">
              <a16:creationId xmlns:a16="http://schemas.microsoft.com/office/drawing/2014/main" id="{620C953E-4703-4DF9-8BC3-BC701CED7297}"/>
            </a:ext>
          </a:extLst>
        </xdr:cNvPr>
        <xdr:cNvSpPr txBox="1">
          <a:spLocks noChangeArrowheads="1"/>
        </xdr:cNvSpPr>
      </xdr:nvSpPr>
      <xdr:spPr bwMode="auto">
        <a:xfrm>
          <a:off x="828675" y="4924425"/>
          <a:ext cx="190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657225</xdr:colOff>
      <xdr:row>24</xdr:row>
      <xdr:rowOff>9525</xdr:rowOff>
    </xdr:from>
    <xdr:to>
      <xdr:col>2</xdr:col>
      <xdr:colOff>676275</xdr:colOff>
      <xdr:row>24</xdr:row>
      <xdr:rowOff>190500</xdr:rowOff>
    </xdr:to>
    <xdr:sp macro="" textlink="">
      <xdr:nvSpPr>
        <xdr:cNvPr id="17291" name="Text Box 88">
          <a:extLst>
            <a:ext uri="{FF2B5EF4-FFF2-40B4-BE49-F238E27FC236}">
              <a16:creationId xmlns:a16="http://schemas.microsoft.com/office/drawing/2014/main" id="{AA422F72-B434-48C0-9719-89D8EBF0C3C3}"/>
            </a:ext>
          </a:extLst>
        </xdr:cNvPr>
        <xdr:cNvSpPr txBox="1">
          <a:spLocks noChangeArrowheads="1"/>
        </xdr:cNvSpPr>
      </xdr:nvSpPr>
      <xdr:spPr bwMode="auto">
        <a:xfrm>
          <a:off x="2524125" y="5124450"/>
          <a:ext cx="190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942974</xdr:colOff>
      <xdr:row>20</xdr:row>
      <xdr:rowOff>6350</xdr:rowOff>
    </xdr:from>
    <xdr:to>
      <xdr:col>3</xdr:col>
      <xdr:colOff>146049</xdr:colOff>
      <xdr:row>22</xdr:row>
      <xdr:rowOff>44450</xdr:rowOff>
    </xdr:to>
    <xdr:sp macro="" textlink="">
      <xdr:nvSpPr>
        <xdr:cNvPr id="6" name="TextBox 5">
          <a:extLst>
            <a:ext uri="{FF2B5EF4-FFF2-40B4-BE49-F238E27FC236}">
              <a16:creationId xmlns:a16="http://schemas.microsoft.com/office/drawing/2014/main" id="{6F103DE8-DC99-4853-9D63-A7E201BE2FAC}"/>
            </a:ext>
          </a:extLst>
        </xdr:cNvPr>
        <xdr:cNvSpPr txBox="1"/>
      </xdr:nvSpPr>
      <xdr:spPr>
        <a:xfrm>
          <a:off x="1704974" y="3425825"/>
          <a:ext cx="174625" cy="419100"/>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nb-NO"/>
        </a:p>
      </xdr:txBody>
    </xdr:sp>
    <xdr:clientData/>
  </xdr:twoCellAnchor>
  <xdr:twoCellAnchor editAs="oneCell">
    <xdr:from>
      <xdr:col>9</xdr:col>
      <xdr:colOff>263978</xdr:colOff>
      <xdr:row>1</xdr:row>
      <xdr:rowOff>19050</xdr:rowOff>
    </xdr:from>
    <xdr:to>
      <xdr:col>11</xdr:col>
      <xdr:colOff>390030</xdr:colOff>
      <xdr:row>5</xdr:row>
      <xdr:rowOff>3357</xdr:rowOff>
    </xdr:to>
    <xdr:pic>
      <xdr:nvPicPr>
        <xdr:cNvPr id="17293" name="Bilde 13">
          <a:extLst>
            <a:ext uri="{FF2B5EF4-FFF2-40B4-BE49-F238E27FC236}">
              <a16:creationId xmlns:a16="http://schemas.microsoft.com/office/drawing/2014/main" id="{B93854F9-B246-40F5-BBF3-CFC4E6E4D2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7765" t="5618" r="70923" b="87868"/>
        <a:stretch>
          <a:fillRect/>
        </a:stretch>
      </xdr:blipFill>
      <xdr:spPr bwMode="auto">
        <a:xfrm>
          <a:off x="13656128" y="219075"/>
          <a:ext cx="2225634" cy="9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244</xdr:row>
      <xdr:rowOff>0</xdr:rowOff>
    </xdr:from>
    <xdr:to>
      <xdr:col>10</xdr:col>
      <xdr:colOff>7937</xdr:colOff>
      <xdr:row>244</xdr:row>
      <xdr:rowOff>7938</xdr:rowOff>
    </xdr:to>
    <xdr:cxnSp macro="">
      <xdr:nvCxnSpPr>
        <xdr:cNvPr id="14" name="Straight Connector 13">
          <a:extLst>
            <a:ext uri="{FF2B5EF4-FFF2-40B4-BE49-F238E27FC236}">
              <a16:creationId xmlns:a16="http://schemas.microsoft.com/office/drawing/2014/main" id="{917D148D-509B-40C7-A052-3E945286D735}"/>
            </a:ext>
          </a:extLst>
        </xdr:cNvPr>
        <xdr:cNvCxnSpPr/>
      </xdr:nvCxnSpPr>
      <xdr:spPr>
        <a:xfrm flipV="1">
          <a:off x="7991475" y="9734550"/>
          <a:ext cx="2198687" cy="7938"/>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445615</xdr:colOff>
      <xdr:row>243</xdr:row>
      <xdr:rowOff>230759</xdr:rowOff>
    </xdr:from>
    <xdr:to>
      <xdr:col>9</xdr:col>
      <xdr:colOff>447203</xdr:colOff>
      <xdr:row>246</xdr:row>
      <xdr:rowOff>32321</xdr:rowOff>
    </xdr:to>
    <xdr:cxnSp macro="">
      <xdr:nvCxnSpPr>
        <xdr:cNvPr id="15" name="Straight Arrow Connector 14">
          <a:extLst>
            <a:ext uri="{FF2B5EF4-FFF2-40B4-BE49-F238E27FC236}">
              <a16:creationId xmlns:a16="http://schemas.microsoft.com/office/drawing/2014/main" id="{708B2DF5-ED9F-4D81-9AC3-62E3849AF6F4}"/>
            </a:ext>
          </a:extLst>
        </xdr:cNvPr>
        <xdr:cNvCxnSpPr/>
      </xdr:nvCxnSpPr>
      <xdr:spPr>
        <a:xfrm rot="5400000" flipH="1" flipV="1">
          <a:off x="13606083" y="50630055"/>
          <a:ext cx="485121" cy="1588"/>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777907</xdr:colOff>
      <xdr:row>244</xdr:row>
      <xdr:rowOff>11310</xdr:rowOff>
    </xdr:from>
    <xdr:to>
      <xdr:col>7</xdr:col>
      <xdr:colOff>779495</xdr:colOff>
      <xdr:row>246</xdr:row>
      <xdr:rowOff>15314</xdr:rowOff>
    </xdr:to>
    <xdr:cxnSp macro="">
      <xdr:nvCxnSpPr>
        <xdr:cNvPr id="16" name="Straight Arrow Connector 15">
          <a:extLst>
            <a:ext uri="{FF2B5EF4-FFF2-40B4-BE49-F238E27FC236}">
              <a16:creationId xmlns:a16="http://schemas.microsoft.com/office/drawing/2014/main" id="{7570323F-8E3A-425D-8CF6-EA06956E4298}"/>
            </a:ext>
          </a:extLst>
        </xdr:cNvPr>
        <xdr:cNvCxnSpPr/>
      </xdr:nvCxnSpPr>
      <xdr:spPr>
        <a:xfrm rot="5400000" flipH="1" flipV="1">
          <a:off x="10408155" y="50635092"/>
          <a:ext cx="441033" cy="1588"/>
        </a:xfrm>
        <a:prstGeom prst="straightConnector1">
          <a:avLst/>
        </a:prstGeom>
        <a:ln w="317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6465</xdr:colOff>
      <xdr:row>241</xdr:row>
      <xdr:rowOff>28008</xdr:rowOff>
    </xdr:from>
    <xdr:to>
      <xdr:col>10</xdr:col>
      <xdr:colOff>6465</xdr:colOff>
      <xdr:row>244</xdr:row>
      <xdr:rowOff>4806</xdr:rowOff>
    </xdr:to>
    <xdr:cxnSp macro="">
      <xdr:nvCxnSpPr>
        <xdr:cNvPr id="17" name="Straight Arrow Connector 16">
          <a:extLst>
            <a:ext uri="{FF2B5EF4-FFF2-40B4-BE49-F238E27FC236}">
              <a16:creationId xmlns:a16="http://schemas.microsoft.com/office/drawing/2014/main" id="{0A0E0FBB-704B-4BAF-A4EA-AA3DF035FC48}"/>
            </a:ext>
          </a:extLst>
        </xdr:cNvPr>
        <xdr:cNvCxnSpPr/>
      </xdr:nvCxnSpPr>
      <xdr:spPr>
        <a:xfrm>
          <a:off x="14307572" y="57885579"/>
          <a:ext cx="0" cy="548298"/>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22411</xdr:colOff>
      <xdr:row>7</xdr:row>
      <xdr:rowOff>67867</xdr:rowOff>
    </xdr:from>
    <xdr:to>
      <xdr:col>2</xdr:col>
      <xdr:colOff>2122713</xdr:colOff>
      <xdr:row>9</xdr:row>
      <xdr:rowOff>89647</xdr:rowOff>
    </xdr:to>
    <xdr:sp macro="" textlink="">
      <xdr:nvSpPr>
        <xdr:cNvPr id="19" name="TextBox 1">
          <a:extLst>
            <a:ext uri="{FF2B5EF4-FFF2-40B4-BE49-F238E27FC236}">
              <a16:creationId xmlns:a16="http://schemas.microsoft.com/office/drawing/2014/main" id="{0E336ED2-3DFF-4875-B032-95F97BA3C451}"/>
            </a:ext>
          </a:extLst>
        </xdr:cNvPr>
        <xdr:cNvSpPr txBox="1"/>
      </xdr:nvSpPr>
      <xdr:spPr>
        <a:xfrm>
          <a:off x="607518" y="1687117"/>
          <a:ext cx="3392981" cy="40278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200" b="1" i="0" u="none" strike="noStrike">
              <a:solidFill>
                <a:srgbClr val="00B050"/>
              </a:solidFill>
              <a:effectLst/>
              <a:latin typeface="Arial" panose="020B0604020202020204" pitchFamily="34" charset="0"/>
              <a:ea typeface="+mn-ea"/>
              <a:cs typeface="Arial" panose="020B0604020202020204" pitchFamily="34" charset="0"/>
            </a:rPr>
            <a:t>- REMARK</a:t>
          </a:r>
          <a:r>
            <a:rPr lang="nb-NO" sz="1200" b="1" i="0" u="none" strike="noStrike" baseline="0">
              <a:solidFill>
                <a:srgbClr val="00B050"/>
              </a:solidFill>
              <a:effectLst/>
              <a:latin typeface="Arial" panose="020B0604020202020204" pitchFamily="34" charset="0"/>
              <a:ea typeface="+mn-ea"/>
              <a:cs typeface="Arial" panose="020B0604020202020204" pitchFamily="34" charset="0"/>
            </a:rPr>
            <a:t>: DISCLAMER AT PAGE 4</a:t>
          </a:r>
        </a:p>
        <a:p>
          <a:r>
            <a:rPr lang="nb-NO" sz="1200" b="1" i="0" u="none" strike="noStrike" baseline="0">
              <a:solidFill>
                <a:srgbClr val="00B050"/>
              </a:solidFill>
              <a:effectLst/>
              <a:latin typeface="Arial" panose="020B0604020202020204" pitchFamily="34" charset="0"/>
              <a:ea typeface="+mn-ea"/>
              <a:cs typeface="Arial" panose="020B0604020202020204" pitchFamily="34" charset="0"/>
            </a:rPr>
            <a:t> </a:t>
          </a:r>
          <a:r>
            <a:rPr lang="nb-NO" sz="1200" b="1" i="0" u="none" strike="noStrike">
              <a:solidFill>
                <a:srgbClr val="00B050"/>
              </a:solidFill>
              <a:effectLst/>
              <a:latin typeface="Arial" panose="020B0604020202020204" pitchFamily="34" charset="0"/>
              <a:ea typeface="+mn-ea"/>
              <a:cs typeface="Arial" panose="020B0604020202020204" pitchFamily="34" charset="0"/>
            </a:rPr>
            <a:t>.</a:t>
          </a:r>
          <a:r>
            <a:rPr lang="nb-NO" sz="1200">
              <a:solidFill>
                <a:srgbClr val="00B050"/>
              </a:solidFill>
              <a:latin typeface="Arial" panose="020B0604020202020204" pitchFamily="34" charset="0"/>
              <a:cs typeface="Arial" panose="020B0604020202020204" pitchFamily="34" charset="0"/>
            </a:rPr>
            <a:t> </a:t>
          </a:r>
          <a:r>
            <a:rPr lang="nb-NO" sz="1200" b="0" i="0" u="none" strike="noStrike">
              <a:solidFill>
                <a:srgbClr val="00B050"/>
              </a:solidFill>
              <a:effectLst/>
              <a:latin typeface="Arial" panose="020B0604020202020204" pitchFamily="34" charset="0"/>
              <a:ea typeface="+mn-ea"/>
              <a:cs typeface="Arial" panose="020B0604020202020204" pitchFamily="34" charset="0"/>
            </a:rPr>
            <a:t> </a:t>
          </a:r>
          <a:r>
            <a:rPr lang="nb-NO" sz="1200">
              <a:solidFill>
                <a:srgbClr val="00B050"/>
              </a:solidFill>
              <a:latin typeface="Arial" panose="020B0604020202020204" pitchFamily="34" charset="0"/>
              <a:cs typeface="Arial" panose="020B0604020202020204" pitchFamily="34" charset="0"/>
            </a:rPr>
            <a:t> </a:t>
          </a:r>
        </a:p>
      </xdr:txBody>
    </xdr:sp>
    <xdr:clientData/>
  </xdr:twoCellAnchor>
  <xdr:twoCellAnchor editAs="oneCell">
    <xdr:from>
      <xdr:col>8</xdr:col>
      <xdr:colOff>666748</xdr:colOff>
      <xdr:row>316</xdr:row>
      <xdr:rowOff>211311</xdr:rowOff>
    </xdr:from>
    <xdr:to>
      <xdr:col>10</xdr:col>
      <xdr:colOff>1088571</xdr:colOff>
      <xdr:row>329</xdr:row>
      <xdr:rowOff>185014</xdr:rowOff>
    </xdr:to>
    <xdr:pic>
      <xdr:nvPicPr>
        <xdr:cNvPr id="10" name="Bilde 9">
          <a:extLst>
            <a:ext uri="{FF2B5EF4-FFF2-40B4-BE49-F238E27FC236}">
              <a16:creationId xmlns:a16="http://schemas.microsoft.com/office/drawing/2014/main" id="{CDE45F30-4E61-4859-9A79-EA915B4C19E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0703" t="44975" r="40956" b="44473"/>
        <a:stretch/>
      </xdr:blipFill>
      <xdr:spPr>
        <a:xfrm>
          <a:off x="11484427" y="70519418"/>
          <a:ext cx="3905251" cy="3103348"/>
        </a:xfrm>
        <a:prstGeom prst="rect">
          <a:avLst/>
        </a:prstGeom>
      </xdr:spPr>
    </xdr:pic>
    <xdr:clientData/>
  </xdr:twoCellAnchor>
  <xdr:twoCellAnchor>
    <xdr:from>
      <xdr:col>2</xdr:col>
      <xdr:colOff>0</xdr:colOff>
      <xdr:row>244</xdr:row>
      <xdr:rowOff>0</xdr:rowOff>
    </xdr:from>
    <xdr:to>
      <xdr:col>4</xdr:col>
      <xdr:colOff>7937</xdr:colOff>
      <xdr:row>244</xdr:row>
      <xdr:rowOff>7938</xdr:rowOff>
    </xdr:to>
    <xdr:cxnSp macro="">
      <xdr:nvCxnSpPr>
        <xdr:cNvPr id="32" name="Straight Connector 13">
          <a:extLst>
            <a:ext uri="{FF2B5EF4-FFF2-40B4-BE49-F238E27FC236}">
              <a16:creationId xmlns:a16="http://schemas.microsoft.com/office/drawing/2014/main" id="{8F49BCCD-8B61-4DCF-8116-EB8BAC838C6E}"/>
            </a:ext>
          </a:extLst>
        </xdr:cNvPr>
        <xdr:cNvCxnSpPr/>
      </xdr:nvCxnSpPr>
      <xdr:spPr>
        <a:xfrm flipV="1">
          <a:off x="10824882" y="55928559"/>
          <a:ext cx="3504173" cy="7938"/>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963034</xdr:colOff>
      <xdr:row>243</xdr:row>
      <xdr:rowOff>190223</xdr:rowOff>
    </xdr:from>
    <xdr:to>
      <xdr:col>3</xdr:col>
      <xdr:colOff>964622</xdr:colOff>
      <xdr:row>246</xdr:row>
      <xdr:rowOff>29885</xdr:rowOff>
    </xdr:to>
    <xdr:cxnSp macro="">
      <xdr:nvCxnSpPr>
        <xdr:cNvPr id="33" name="Straight Arrow Connector 14">
          <a:extLst>
            <a:ext uri="{FF2B5EF4-FFF2-40B4-BE49-F238E27FC236}">
              <a16:creationId xmlns:a16="http://schemas.microsoft.com/office/drawing/2014/main" id="{5A8C6D2F-55EE-49DA-9C84-DFB44ABDB656}"/>
            </a:ext>
          </a:extLst>
        </xdr:cNvPr>
        <xdr:cNvCxnSpPr/>
      </xdr:nvCxnSpPr>
      <xdr:spPr>
        <a:xfrm rot="5400000" flipH="1" flipV="1">
          <a:off x="5148030" y="55987880"/>
          <a:ext cx="411162" cy="1588"/>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1120396</xdr:colOff>
      <xdr:row>244</xdr:row>
      <xdr:rowOff>17713</xdr:rowOff>
    </xdr:from>
    <xdr:to>
      <xdr:col>1</xdr:col>
      <xdr:colOff>1120396</xdr:colOff>
      <xdr:row>246</xdr:row>
      <xdr:rowOff>21715</xdr:rowOff>
    </xdr:to>
    <xdr:cxnSp macro="">
      <xdr:nvCxnSpPr>
        <xdr:cNvPr id="34" name="Straight Arrow Connector 15">
          <a:extLst>
            <a:ext uri="{FF2B5EF4-FFF2-40B4-BE49-F238E27FC236}">
              <a16:creationId xmlns:a16="http://schemas.microsoft.com/office/drawing/2014/main" id="{E6E5E742-3B30-4E8E-ACF1-5B7FB49595AC}"/>
            </a:ext>
          </a:extLst>
        </xdr:cNvPr>
        <xdr:cNvCxnSpPr/>
      </xdr:nvCxnSpPr>
      <xdr:spPr>
        <a:xfrm rot="5400000" flipH="1" flipV="1">
          <a:off x="1515960" y="55993584"/>
          <a:ext cx="385002" cy="0"/>
        </a:xfrm>
        <a:prstGeom prst="straightConnector1">
          <a:avLst/>
        </a:prstGeom>
        <a:ln w="317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6465</xdr:colOff>
      <xdr:row>241</xdr:row>
      <xdr:rowOff>794</xdr:rowOff>
    </xdr:from>
    <xdr:to>
      <xdr:col>4</xdr:col>
      <xdr:colOff>6465</xdr:colOff>
      <xdr:row>243</xdr:row>
      <xdr:rowOff>168092</xdr:rowOff>
    </xdr:to>
    <xdr:cxnSp macro="">
      <xdr:nvCxnSpPr>
        <xdr:cNvPr id="35" name="Straight Arrow Connector 16">
          <a:extLst>
            <a:ext uri="{FF2B5EF4-FFF2-40B4-BE49-F238E27FC236}">
              <a16:creationId xmlns:a16="http://schemas.microsoft.com/office/drawing/2014/main" id="{4F7AEBD8-9D75-408B-A382-4D2F1437FEFB}"/>
            </a:ext>
          </a:extLst>
        </xdr:cNvPr>
        <xdr:cNvCxnSpPr/>
      </xdr:nvCxnSpPr>
      <xdr:spPr>
        <a:xfrm>
          <a:off x="14327583" y="55357853"/>
          <a:ext cx="0" cy="548298"/>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136073</xdr:colOff>
      <xdr:row>277</xdr:row>
      <xdr:rowOff>136072</xdr:rowOff>
    </xdr:from>
    <xdr:to>
      <xdr:col>11</xdr:col>
      <xdr:colOff>232122</xdr:colOff>
      <xdr:row>312</xdr:row>
      <xdr:rowOff>95250</xdr:rowOff>
    </xdr:to>
    <xdr:pic>
      <xdr:nvPicPr>
        <xdr:cNvPr id="25" name="Bilde 24">
          <a:extLst>
            <a:ext uri="{FF2B5EF4-FFF2-40B4-BE49-F238E27FC236}">
              <a16:creationId xmlns:a16="http://schemas.microsoft.com/office/drawing/2014/main" id="{7F57F7AB-7847-4035-A197-40C1F72D7C6F}"/>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339" t="8117" r="7906" b="12607"/>
        <a:stretch/>
      </xdr:blipFill>
      <xdr:spPr>
        <a:xfrm>
          <a:off x="9987644" y="61449858"/>
          <a:ext cx="5810250" cy="7973785"/>
        </a:xfrm>
        <a:prstGeom prst="rect">
          <a:avLst/>
        </a:prstGeom>
      </xdr:spPr>
    </xdr:pic>
    <xdr:clientData/>
  </xdr:twoCellAnchor>
  <xdr:twoCellAnchor>
    <xdr:from>
      <xdr:col>2</xdr:col>
      <xdr:colOff>0</xdr:colOff>
      <xdr:row>255</xdr:row>
      <xdr:rowOff>0</xdr:rowOff>
    </xdr:from>
    <xdr:to>
      <xdr:col>4</xdr:col>
      <xdr:colOff>7937</xdr:colOff>
      <xdr:row>255</xdr:row>
      <xdr:rowOff>7938</xdr:rowOff>
    </xdr:to>
    <xdr:cxnSp macro="">
      <xdr:nvCxnSpPr>
        <xdr:cNvPr id="27" name="Straight Connector 13">
          <a:extLst>
            <a:ext uri="{FF2B5EF4-FFF2-40B4-BE49-F238E27FC236}">
              <a16:creationId xmlns:a16="http://schemas.microsoft.com/office/drawing/2014/main" id="{0AC1FFCD-6EEA-4B01-B0F1-0169F3EB1884}"/>
            </a:ext>
          </a:extLst>
        </xdr:cNvPr>
        <xdr:cNvCxnSpPr/>
      </xdr:nvCxnSpPr>
      <xdr:spPr>
        <a:xfrm flipV="1">
          <a:off x="1882588" y="56533676"/>
          <a:ext cx="3929996" cy="7938"/>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963034</xdr:colOff>
      <xdr:row>254</xdr:row>
      <xdr:rowOff>190223</xdr:rowOff>
    </xdr:from>
    <xdr:to>
      <xdr:col>3</xdr:col>
      <xdr:colOff>964622</xdr:colOff>
      <xdr:row>257</xdr:row>
      <xdr:rowOff>29885</xdr:rowOff>
    </xdr:to>
    <xdr:cxnSp macro="">
      <xdr:nvCxnSpPr>
        <xdr:cNvPr id="28" name="Straight Arrow Connector 14">
          <a:extLst>
            <a:ext uri="{FF2B5EF4-FFF2-40B4-BE49-F238E27FC236}">
              <a16:creationId xmlns:a16="http://schemas.microsoft.com/office/drawing/2014/main" id="{3C9E9FB4-A956-4675-801D-96C95C592622}"/>
            </a:ext>
          </a:extLst>
        </xdr:cNvPr>
        <xdr:cNvCxnSpPr/>
      </xdr:nvCxnSpPr>
      <xdr:spPr>
        <a:xfrm rot="5400000" flipH="1" flipV="1">
          <a:off x="5173365" y="56738186"/>
          <a:ext cx="411162" cy="1588"/>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1120396</xdr:colOff>
      <xdr:row>255</xdr:row>
      <xdr:rowOff>17713</xdr:rowOff>
    </xdr:from>
    <xdr:to>
      <xdr:col>1</xdr:col>
      <xdr:colOff>1120396</xdr:colOff>
      <xdr:row>257</xdr:row>
      <xdr:rowOff>21715</xdr:rowOff>
    </xdr:to>
    <xdr:cxnSp macro="">
      <xdr:nvCxnSpPr>
        <xdr:cNvPr id="29" name="Straight Arrow Connector 15">
          <a:extLst>
            <a:ext uri="{FF2B5EF4-FFF2-40B4-BE49-F238E27FC236}">
              <a16:creationId xmlns:a16="http://schemas.microsoft.com/office/drawing/2014/main" id="{C10F54D7-0791-4D6E-B6FF-B16564B1BF1E}"/>
            </a:ext>
          </a:extLst>
        </xdr:cNvPr>
        <xdr:cNvCxnSpPr/>
      </xdr:nvCxnSpPr>
      <xdr:spPr>
        <a:xfrm rot="5400000" flipH="1" flipV="1">
          <a:off x="1521807" y="56743890"/>
          <a:ext cx="385002" cy="0"/>
        </a:xfrm>
        <a:prstGeom prst="straightConnector1">
          <a:avLst/>
        </a:prstGeom>
        <a:ln w="317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1676142</xdr:colOff>
      <xdr:row>252</xdr:row>
      <xdr:rowOff>67235</xdr:rowOff>
    </xdr:from>
    <xdr:to>
      <xdr:col>2</xdr:col>
      <xdr:colOff>1676142</xdr:colOff>
      <xdr:row>254</xdr:row>
      <xdr:rowOff>123268</xdr:rowOff>
    </xdr:to>
    <xdr:cxnSp macro="">
      <xdr:nvCxnSpPr>
        <xdr:cNvPr id="30" name="Straight Arrow Connector 16">
          <a:extLst>
            <a:ext uri="{FF2B5EF4-FFF2-40B4-BE49-F238E27FC236}">
              <a16:creationId xmlns:a16="http://schemas.microsoft.com/office/drawing/2014/main" id="{B60D050D-B30F-4104-A710-43365E209876}"/>
            </a:ext>
          </a:extLst>
        </xdr:cNvPr>
        <xdr:cNvCxnSpPr/>
      </xdr:nvCxnSpPr>
      <xdr:spPr>
        <a:xfrm>
          <a:off x="3558730" y="59167059"/>
          <a:ext cx="0" cy="437033"/>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1120396</xdr:colOff>
      <xdr:row>255</xdr:row>
      <xdr:rowOff>17713</xdr:rowOff>
    </xdr:from>
    <xdr:to>
      <xdr:col>1</xdr:col>
      <xdr:colOff>1120396</xdr:colOff>
      <xdr:row>257</xdr:row>
      <xdr:rowOff>21715</xdr:rowOff>
    </xdr:to>
    <xdr:cxnSp macro="">
      <xdr:nvCxnSpPr>
        <xdr:cNvPr id="31" name="Straight Arrow Connector 15">
          <a:extLst>
            <a:ext uri="{FF2B5EF4-FFF2-40B4-BE49-F238E27FC236}">
              <a16:creationId xmlns:a16="http://schemas.microsoft.com/office/drawing/2014/main" id="{8E2EED25-52C2-4BC0-B151-EC51EF66B469}"/>
            </a:ext>
          </a:extLst>
        </xdr:cNvPr>
        <xdr:cNvCxnSpPr/>
      </xdr:nvCxnSpPr>
      <xdr:spPr>
        <a:xfrm rot="5400000" flipH="1" flipV="1">
          <a:off x="1521807" y="56743890"/>
          <a:ext cx="385002" cy="0"/>
        </a:xfrm>
        <a:prstGeom prst="straightConnector1">
          <a:avLst/>
        </a:prstGeom>
        <a:ln w="317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255</xdr:row>
      <xdr:rowOff>0</xdr:rowOff>
    </xdr:from>
    <xdr:to>
      <xdr:col>10</xdr:col>
      <xdr:colOff>7937</xdr:colOff>
      <xdr:row>255</xdr:row>
      <xdr:rowOff>7938</xdr:rowOff>
    </xdr:to>
    <xdr:cxnSp macro="">
      <xdr:nvCxnSpPr>
        <xdr:cNvPr id="41" name="Straight Connector 13">
          <a:extLst>
            <a:ext uri="{FF2B5EF4-FFF2-40B4-BE49-F238E27FC236}">
              <a16:creationId xmlns:a16="http://schemas.microsoft.com/office/drawing/2014/main" id="{FA82A1FE-608C-434D-B3DF-1387969CC720}"/>
            </a:ext>
          </a:extLst>
        </xdr:cNvPr>
        <xdr:cNvCxnSpPr/>
      </xdr:nvCxnSpPr>
      <xdr:spPr>
        <a:xfrm flipV="1">
          <a:off x="1882588" y="60175588"/>
          <a:ext cx="3929996" cy="7938"/>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963034</xdr:colOff>
      <xdr:row>254</xdr:row>
      <xdr:rowOff>190223</xdr:rowOff>
    </xdr:from>
    <xdr:to>
      <xdr:col>9</xdr:col>
      <xdr:colOff>964622</xdr:colOff>
      <xdr:row>257</xdr:row>
      <xdr:rowOff>29885</xdr:rowOff>
    </xdr:to>
    <xdr:cxnSp macro="">
      <xdr:nvCxnSpPr>
        <xdr:cNvPr id="42" name="Straight Arrow Connector 14">
          <a:extLst>
            <a:ext uri="{FF2B5EF4-FFF2-40B4-BE49-F238E27FC236}">
              <a16:creationId xmlns:a16="http://schemas.microsoft.com/office/drawing/2014/main" id="{EEFFA929-A806-40B3-8DA7-1BB1A99CA4B8}"/>
            </a:ext>
          </a:extLst>
        </xdr:cNvPr>
        <xdr:cNvCxnSpPr/>
      </xdr:nvCxnSpPr>
      <xdr:spPr>
        <a:xfrm rot="5400000" flipH="1" flipV="1">
          <a:off x="5173365" y="60380098"/>
          <a:ext cx="411162" cy="1588"/>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1120396</xdr:colOff>
      <xdr:row>255</xdr:row>
      <xdr:rowOff>17713</xdr:rowOff>
    </xdr:from>
    <xdr:to>
      <xdr:col>7</xdr:col>
      <xdr:colOff>1120396</xdr:colOff>
      <xdr:row>257</xdr:row>
      <xdr:rowOff>21715</xdr:rowOff>
    </xdr:to>
    <xdr:cxnSp macro="">
      <xdr:nvCxnSpPr>
        <xdr:cNvPr id="43" name="Straight Arrow Connector 15">
          <a:extLst>
            <a:ext uri="{FF2B5EF4-FFF2-40B4-BE49-F238E27FC236}">
              <a16:creationId xmlns:a16="http://schemas.microsoft.com/office/drawing/2014/main" id="{4DF48BCA-7C09-4073-AF8F-2601FD45B7F3}"/>
            </a:ext>
          </a:extLst>
        </xdr:cNvPr>
        <xdr:cNvCxnSpPr/>
      </xdr:nvCxnSpPr>
      <xdr:spPr>
        <a:xfrm rot="5400000" flipH="1" flipV="1">
          <a:off x="1521807" y="60385802"/>
          <a:ext cx="385002" cy="0"/>
        </a:xfrm>
        <a:prstGeom prst="straightConnector1">
          <a:avLst/>
        </a:prstGeom>
        <a:ln w="317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1676142</xdr:colOff>
      <xdr:row>252</xdr:row>
      <xdr:rowOff>67235</xdr:rowOff>
    </xdr:from>
    <xdr:to>
      <xdr:col>8</xdr:col>
      <xdr:colOff>1676142</xdr:colOff>
      <xdr:row>254</xdr:row>
      <xdr:rowOff>123268</xdr:rowOff>
    </xdr:to>
    <xdr:cxnSp macro="">
      <xdr:nvCxnSpPr>
        <xdr:cNvPr id="44" name="Straight Arrow Connector 16">
          <a:extLst>
            <a:ext uri="{FF2B5EF4-FFF2-40B4-BE49-F238E27FC236}">
              <a16:creationId xmlns:a16="http://schemas.microsoft.com/office/drawing/2014/main" id="{C23824C5-DD3B-4F7D-A25C-A29A12BB8A4F}"/>
            </a:ext>
          </a:extLst>
        </xdr:cNvPr>
        <xdr:cNvCxnSpPr/>
      </xdr:nvCxnSpPr>
      <xdr:spPr>
        <a:xfrm>
          <a:off x="3558730" y="59671323"/>
          <a:ext cx="0" cy="437033"/>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1120396</xdr:colOff>
      <xdr:row>255</xdr:row>
      <xdr:rowOff>17713</xdr:rowOff>
    </xdr:from>
    <xdr:to>
      <xdr:col>7</xdr:col>
      <xdr:colOff>1120396</xdr:colOff>
      <xdr:row>257</xdr:row>
      <xdr:rowOff>21715</xdr:rowOff>
    </xdr:to>
    <xdr:cxnSp macro="">
      <xdr:nvCxnSpPr>
        <xdr:cNvPr id="45" name="Straight Arrow Connector 15">
          <a:extLst>
            <a:ext uri="{FF2B5EF4-FFF2-40B4-BE49-F238E27FC236}">
              <a16:creationId xmlns:a16="http://schemas.microsoft.com/office/drawing/2014/main" id="{09894FA3-EAA0-40C5-9FD7-DCABB12AF52F}"/>
            </a:ext>
          </a:extLst>
        </xdr:cNvPr>
        <xdr:cNvCxnSpPr/>
      </xdr:nvCxnSpPr>
      <xdr:spPr>
        <a:xfrm rot="5400000" flipH="1" flipV="1">
          <a:off x="1521807" y="60385802"/>
          <a:ext cx="385002" cy="0"/>
        </a:xfrm>
        <a:prstGeom prst="straightConnector1">
          <a:avLst/>
        </a:prstGeom>
        <a:ln w="317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2286000</xdr:colOff>
      <xdr:row>41</xdr:row>
      <xdr:rowOff>0</xdr:rowOff>
    </xdr:from>
    <xdr:to>
      <xdr:col>6</xdr:col>
      <xdr:colOff>31449</xdr:colOff>
      <xdr:row>47</xdr:row>
      <xdr:rowOff>41869</xdr:rowOff>
    </xdr:to>
    <xdr:pic>
      <xdr:nvPicPr>
        <xdr:cNvPr id="51" name="Bilde 50">
          <a:extLst>
            <a:ext uri="{FF2B5EF4-FFF2-40B4-BE49-F238E27FC236}">
              <a16:creationId xmlns:a16="http://schemas.microsoft.com/office/drawing/2014/main" id="{F12E55DC-D748-4D4B-A6E5-5D3BF598CD44}"/>
            </a:ext>
          </a:extLst>
        </xdr:cNvPr>
        <xdr:cNvPicPr>
          <a:picLocks noChangeAspect="1"/>
        </xdr:cNvPicPr>
      </xdr:nvPicPr>
      <xdr:blipFill>
        <a:blip xmlns:r="http://schemas.openxmlformats.org/officeDocument/2006/relationships" r:embed="rId5"/>
        <a:stretch>
          <a:fillRect/>
        </a:stretch>
      </xdr:blipFill>
      <xdr:spPr>
        <a:xfrm>
          <a:off x="8090647" y="9424147"/>
          <a:ext cx="1533037" cy="1252104"/>
        </a:xfrm>
        <a:prstGeom prst="rect">
          <a:avLst/>
        </a:prstGeom>
      </xdr:spPr>
    </xdr:pic>
    <xdr:clientData/>
  </xdr:twoCellAnchor>
  <xdr:twoCellAnchor editAs="oneCell">
    <xdr:from>
      <xdr:col>1</xdr:col>
      <xdr:colOff>515470</xdr:colOff>
      <xdr:row>40</xdr:row>
      <xdr:rowOff>33618</xdr:rowOff>
    </xdr:from>
    <xdr:to>
      <xdr:col>2</xdr:col>
      <xdr:colOff>1459496</xdr:colOff>
      <xdr:row>47</xdr:row>
      <xdr:rowOff>84362</xdr:rowOff>
    </xdr:to>
    <xdr:pic>
      <xdr:nvPicPr>
        <xdr:cNvPr id="52" name="Bilde 51">
          <a:extLst>
            <a:ext uri="{FF2B5EF4-FFF2-40B4-BE49-F238E27FC236}">
              <a16:creationId xmlns:a16="http://schemas.microsoft.com/office/drawing/2014/main" id="{5F0E4A19-633C-4C05-9F5A-3FA41C4DDF2B}"/>
            </a:ext>
          </a:extLst>
        </xdr:cNvPr>
        <xdr:cNvPicPr>
          <a:picLocks noChangeAspect="1"/>
        </xdr:cNvPicPr>
      </xdr:nvPicPr>
      <xdr:blipFill>
        <a:blip xmlns:r="http://schemas.openxmlformats.org/officeDocument/2006/relationships" r:embed="rId6"/>
        <a:stretch>
          <a:fillRect/>
        </a:stretch>
      </xdr:blipFill>
      <xdr:spPr>
        <a:xfrm>
          <a:off x="1109382" y="9256059"/>
          <a:ext cx="2232702" cy="1462685"/>
        </a:xfrm>
        <a:prstGeom prst="rect">
          <a:avLst/>
        </a:prstGeom>
      </xdr:spPr>
    </xdr:pic>
    <xdr:clientData/>
  </xdr:twoCellAnchor>
  <xdr:twoCellAnchor editAs="oneCell">
    <xdr:from>
      <xdr:col>1</xdr:col>
      <xdr:colOff>285750</xdr:colOff>
      <xdr:row>10</xdr:row>
      <xdr:rowOff>171449</xdr:rowOff>
    </xdr:from>
    <xdr:to>
      <xdr:col>3</xdr:col>
      <xdr:colOff>1085850</xdr:colOff>
      <xdr:row>37</xdr:row>
      <xdr:rowOff>38100</xdr:rowOff>
    </xdr:to>
    <xdr:pic>
      <xdr:nvPicPr>
        <xdr:cNvPr id="37" name="Bilde 36">
          <a:extLst>
            <a:ext uri="{FF2B5EF4-FFF2-40B4-BE49-F238E27FC236}">
              <a16:creationId xmlns:a16="http://schemas.microsoft.com/office/drawing/2014/main" id="{1923AE76-FEFD-4997-ACC3-09F4EA26041C}"/>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7950" t="18845" r="17084" b="18656"/>
        <a:stretch/>
      </xdr:blipFill>
      <xdr:spPr>
        <a:xfrm>
          <a:off x="876300" y="2371724"/>
          <a:ext cx="4619625" cy="6286501"/>
        </a:xfrm>
        <a:prstGeom prst="rect">
          <a:avLst/>
        </a:prstGeom>
      </xdr:spPr>
    </xdr:pic>
    <xdr:clientData/>
  </xdr:twoCellAnchor>
  <xdr:twoCellAnchor editAs="oneCell">
    <xdr:from>
      <xdr:col>7</xdr:col>
      <xdr:colOff>485775</xdr:colOff>
      <xdr:row>119</xdr:row>
      <xdr:rowOff>123825</xdr:rowOff>
    </xdr:from>
    <xdr:to>
      <xdr:col>10</xdr:col>
      <xdr:colOff>1114425</xdr:colOff>
      <xdr:row>140</xdr:row>
      <xdr:rowOff>95250</xdr:rowOff>
    </xdr:to>
    <xdr:pic>
      <xdr:nvPicPr>
        <xdr:cNvPr id="39" name="Bilde 38">
          <a:extLst>
            <a:ext uri="{FF2B5EF4-FFF2-40B4-BE49-F238E27FC236}">
              <a16:creationId xmlns:a16="http://schemas.microsoft.com/office/drawing/2014/main" id="{9AFF4FDF-0E73-4D25-BBDE-9AC09503D4B4}"/>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4467" t="26705" r="13066" b="27083"/>
        <a:stretch/>
      </xdr:blipFill>
      <xdr:spPr>
        <a:xfrm>
          <a:off x="11220450" y="25793700"/>
          <a:ext cx="5153025" cy="4648200"/>
        </a:xfrm>
        <a:prstGeom prst="rect">
          <a:avLst/>
        </a:prstGeom>
      </xdr:spPr>
    </xdr:pic>
    <xdr:clientData/>
  </xdr:twoCellAnchor>
  <xdr:twoCellAnchor editAs="oneCell">
    <xdr:from>
      <xdr:col>7</xdr:col>
      <xdr:colOff>438150</xdr:colOff>
      <xdr:row>153</xdr:row>
      <xdr:rowOff>76200</xdr:rowOff>
    </xdr:from>
    <xdr:to>
      <xdr:col>10</xdr:col>
      <xdr:colOff>1104900</xdr:colOff>
      <xdr:row>175</xdr:row>
      <xdr:rowOff>1</xdr:rowOff>
    </xdr:to>
    <xdr:pic>
      <xdr:nvPicPr>
        <xdr:cNvPr id="46" name="Bilde 45">
          <a:extLst>
            <a:ext uri="{FF2B5EF4-FFF2-40B4-BE49-F238E27FC236}">
              <a16:creationId xmlns:a16="http://schemas.microsoft.com/office/drawing/2014/main" id="{31DA58EB-708F-4B81-BC9E-C338971AEE1F}"/>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4333" t="26042" r="12664" b="26515"/>
        <a:stretch/>
      </xdr:blipFill>
      <xdr:spPr>
        <a:xfrm>
          <a:off x="11172825" y="33385125"/>
          <a:ext cx="5191125" cy="4772026"/>
        </a:xfrm>
        <a:prstGeom prst="rect">
          <a:avLst/>
        </a:prstGeom>
      </xdr:spPr>
    </xdr:pic>
    <xdr:clientData/>
  </xdr:twoCellAnchor>
  <xdr:twoCellAnchor editAs="oneCell">
    <xdr:from>
      <xdr:col>8</xdr:col>
      <xdr:colOff>104775</xdr:colOff>
      <xdr:row>177</xdr:row>
      <xdr:rowOff>190500</xdr:rowOff>
    </xdr:from>
    <xdr:to>
      <xdr:col>10</xdr:col>
      <xdr:colOff>952500</xdr:colOff>
      <xdr:row>201</xdr:row>
      <xdr:rowOff>190500</xdr:rowOff>
    </xdr:to>
    <xdr:pic>
      <xdr:nvPicPr>
        <xdr:cNvPr id="48" name="Bilde 47">
          <a:extLst>
            <a:ext uri="{FF2B5EF4-FFF2-40B4-BE49-F238E27FC236}">
              <a16:creationId xmlns:a16="http://schemas.microsoft.com/office/drawing/2014/main" id="{2FEBFE3C-09DD-474A-9EF4-EC4BDBE2577B}"/>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9289" t="22727" r="19764" b="22443"/>
        <a:stretch/>
      </xdr:blipFill>
      <xdr:spPr>
        <a:xfrm>
          <a:off x="11877675" y="38785800"/>
          <a:ext cx="4333875" cy="5514975"/>
        </a:xfrm>
        <a:prstGeom prst="rect">
          <a:avLst/>
        </a:prstGeom>
      </xdr:spPr>
    </xdr:pic>
    <xdr:clientData/>
  </xdr:twoCellAnchor>
  <xdr:twoCellAnchor editAs="oneCell">
    <xdr:from>
      <xdr:col>1</xdr:col>
      <xdr:colOff>1257308</xdr:colOff>
      <xdr:row>207</xdr:row>
      <xdr:rowOff>28574</xdr:rowOff>
    </xdr:from>
    <xdr:to>
      <xdr:col>9</xdr:col>
      <xdr:colOff>133359</xdr:colOff>
      <xdr:row>220</xdr:row>
      <xdr:rowOff>200024</xdr:rowOff>
    </xdr:to>
    <xdr:pic>
      <xdr:nvPicPr>
        <xdr:cNvPr id="55" name="Bilde 54">
          <a:extLst>
            <a:ext uri="{FF2B5EF4-FFF2-40B4-BE49-F238E27FC236}">
              <a16:creationId xmlns:a16="http://schemas.microsoft.com/office/drawing/2014/main" id="{56BE1C58-149F-4C3C-9F8A-9F82D62161B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36708" t="6034" r="36276" b="6939"/>
        <a:stretch/>
      </xdr:blipFill>
      <xdr:spPr>
        <a:xfrm rot="-5400000">
          <a:off x="6777046" y="40647936"/>
          <a:ext cx="2771775" cy="12630151"/>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M366"/>
  <sheetViews>
    <sheetView showGridLines="0" tabSelected="1" zoomScale="70" zoomScaleNormal="70" zoomScaleSheetLayoutView="70" zoomScalePageLayoutView="40" workbookViewId="0">
      <pane xSplit="43695" topLeftCell="G1"/>
      <selection activeCell="J29" sqref="J29"/>
      <selection pane="topRight" activeCell="G14" sqref="G14"/>
    </sheetView>
  </sheetViews>
  <sheetFormatPr baseColWidth="10" defaultColWidth="11.42578125" defaultRowHeight="12.75"/>
  <cols>
    <col min="1" max="1" width="8.85546875" style="51" customWidth="1"/>
    <col min="2" max="2" width="19.28515625" style="51" customWidth="1"/>
    <col min="3" max="3" width="38" style="51" customWidth="1"/>
    <col min="4" max="4" width="20.85546875" style="51" customWidth="1"/>
    <col min="5" max="5" width="40" style="51" customWidth="1"/>
    <col min="6" max="6" width="16.85546875" style="51" customWidth="1"/>
    <col min="7" max="7" width="17.140625" style="51" customWidth="1"/>
    <col min="8" max="8" width="15.5703125" style="51" customWidth="1"/>
    <col min="9" max="9" width="38.5703125" style="51" customWidth="1"/>
    <col min="10" max="10" width="13.7109375" style="51" bestFit="1" customWidth="1"/>
    <col min="11" max="11" width="17.85546875" style="51" customWidth="1"/>
    <col min="12" max="12" width="6.7109375" style="51" customWidth="1"/>
    <col min="13" max="21" width="12.5703125" style="51" customWidth="1"/>
    <col min="22" max="22" width="8.5703125" style="51" customWidth="1"/>
    <col min="23" max="23" width="20" style="51" bestFit="1" customWidth="1"/>
    <col min="24" max="24" width="12.28515625" style="51" bestFit="1" customWidth="1"/>
    <col min="25" max="25" width="12.140625" style="51" customWidth="1"/>
    <col min="26" max="26" width="9.28515625" style="51" bestFit="1" customWidth="1"/>
    <col min="27" max="28" width="11.42578125" style="51"/>
    <col min="46" max="48" width="11.42578125" style="51"/>
    <col min="66" max="16384" width="11.42578125" style="51"/>
  </cols>
  <sheetData>
    <row r="1" spans="2:27" ht="15.75" thickBot="1">
      <c r="B1" s="50"/>
      <c r="C1" s="50"/>
      <c r="D1" s="50"/>
      <c r="E1" s="50"/>
      <c r="F1" s="50"/>
      <c r="G1" s="50"/>
      <c r="H1" s="50"/>
      <c r="I1" s="50"/>
      <c r="J1" s="50"/>
      <c r="K1" s="50"/>
      <c r="L1" s="50"/>
    </row>
    <row r="2" spans="2:27" ht="20.100000000000001" customHeight="1">
      <c r="B2" s="52" t="s">
        <v>0</v>
      </c>
      <c r="C2" s="428"/>
      <c r="D2" s="429"/>
      <c r="E2" s="429"/>
      <c r="F2" s="429"/>
      <c r="G2" s="429"/>
      <c r="H2" s="429"/>
      <c r="I2" s="430"/>
      <c r="J2" s="53"/>
      <c r="K2" s="54"/>
      <c r="L2" s="55"/>
      <c r="Y2" s="56"/>
    </row>
    <row r="3" spans="2:27" ht="20.100000000000001" customHeight="1">
      <c r="B3" s="57" t="s">
        <v>1</v>
      </c>
      <c r="C3" s="431"/>
      <c r="D3" s="432"/>
      <c r="E3" s="432"/>
      <c r="F3" s="432"/>
      <c r="G3" s="432"/>
      <c r="H3" s="432"/>
      <c r="I3" s="433"/>
      <c r="J3" s="58"/>
      <c r="K3" s="59"/>
      <c r="L3" s="60"/>
      <c r="W3" s="82"/>
      <c r="Y3" s="56"/>
    </row>
    <row r="4" spans="2:27" ht="20.100000000000001" customHeight="1">
      <c r="B4" s="57" t="s">
        <v>18</v>
      </c>
      <c r="C4" s="431"/>
      <c r="D4" s="432"/>
      <c r="E4" s="432"/>
      <c r="F4" s="432"/>
      <c r="G4" s="432"/>
      <c r="H4" s="432"/>
      <c r="I4" s="433"/>
      <c r="J4" s="61"/>
      <c r="K4" s="62"/>
      <c r="L4" s="63"/>
    </row>
    <row r="5" spans="2:27" ht="20.100000000000001" customHeight="1">
      <c r="B5" s="57" t="s">
        <v>29</v>
      </c>
      <c r="C5" s="434"/>
      <c r="D5" s="64" t="s">
        <v>2</v>
      </c>
      <c r="E5" s="435">
        <v>44225</v>
      </c>
      <c r="F5" s="432"/>
      <c r="G5" s="432"/>
      <c r="H5" s="432"/>
      <c r="I5" s="433"/>
      <c r="J5" s="65"/>
      <c r="K5" s="66"/>
      <c r="L5" s="67"/>
      <c r="X5" s="56"/>
    </row>
    <row r="6" spans="2:27" ht="18" customHeight="1">
      <c r="B6" s="371" t="s">
        <v>412</v>
      </c>
      <c r="C6" s="372"/>
      <c r="D6" s="372"/>
      <c r="E6" s="372"/>
      <c r="F6" s="372"/>
      <c r="G6" s="372"/>
      <c r="H6" s="372"/>
      <c r="I6" s="372"/>
      <c r="J6" s="372"/>
      <c r="K6" s="372"/>
      <c r="L6" s="373"/>
      <c r="Y6" s="56"/>
      <c r="AA6" s="56"/>
    </row>
    <row r="7" spans="2:27" ht="15.75">
      <c r="B7" s="152" t="s">
        <v>26</v>
      </c>
      <c r="C7" s="153"/>
      <c r="D7" s="153"/>
      <c r="E7" s="153"/>
      <c r="F7" s="153"/>
      <c r="G7" s="153"/>
      <c r="H7" s="153"/>
      <c r="I7" s="153"/>
      <c r="J7" s="153"/>
      <c r="K7" s="374" t="s">
        <v>196</v>
      </c>
      <c r="L7" s="375"/>
      <c r="O7" s="50" t="s">
        <v>33</v>
      </c>
      <c r="X7" s="56"/>
      <c r="Y7" s="56"/>
      <c r="Z7" s="68"/>
      <c r="AA7" s="56"/>
    </row>
    <row r="8" spans="2:27" ht="15">
      <c r="B8" s="19"/>
      <c r="C8" s="4"/>
      <c r="D8" s="33"/>
      <c r="I8" s="4"/>
      <c r="J8" s="4"/>
      <c r="K8" s="4"/>
      <c r="L8" s="5"/>
      <c r="O8" s="50" t="s">
        <v>30</v>
      </c>
      <c r="Y8" s="56"/>
    </row>
    <row r="9" spans="2:27" ht="15">
      <c r="B9" s="19"/>
      <c r="C9" s="4"/>
      <c r="D9" s="33"/>
      <c r="E9" s="113"/>
      <c r="L9" s="44"/>
      <c r="O9" s="50" t="s">
        <v>31</v>
      </c>
      <c r="Y9" s="56"/>
    </row>
    <row r="10" spans="2:27" ht="15.75">
      <c r="B10" s="3"/>
      <c r="C10" s="47"/>
      <c r="D10" s="33"/>
      <c r="E10" s="114" t="s">
        <v>143</v>
      </c>
      <c r="F10" s="73"/>
      <c r="G10" s="73"/>
      <c r="I10" s="114" t="s">
        <v>115</v>
      </c>
      <c r="J10" s="73"/>
      <c r="K10" s="73"/>
      <c r="L10" s="44"/>
      <c r="O10" s="50" t="s">
        <v>32</v>
      </c>
    </row>
    <row r="11" spans="2:27" ht="15">
      <c r="B11" s="13"/>
      <c r="C11" s="7"/>
      <c r="D11" s="7"/>
      <c r="L11" s="44"/>
      <c r="O11" s="50" t="s">
        <v>35</v>
      </c>
    </row>
    <row r="12" spans="2:27" ht="18">
      <c r="B12" s="13"/>
      <c r="C12" s="7"/>
      <c r="D12" s="7"/>
      <c r="E12" s="7" t="s">
        <v>6</v>
      </c>
      <c r="F12" s="1">
        <v>2.6</v>
      </c>
      <c r="G12" s="42" t="s">
        <v>23</v>
      </c>
      <c r="H12" s="42"/>
      <c r="I12" s="7" t="s">
        <v>5</v>
      </c>
      <c r="J12" s="1">
        <v>25</v>
      </c>
      <c r="K12" s="39" t="s">
        <v>24</v>
      </c>
      <c r="L12" s="44"/>
    </row>
    <row r="13" spans="2:27" ht="16.5" customHeight="1">
      <c r="B13" s="45"/>
      <c r="C13" s="7"/>
      <c r="D13" s="7"/>
      <c r="E13" s="7" t="s">
        <v>7</v>
      </c>
      <c r="F13" s="1">
        <v>1.2</v>
      </c>
      <c r="G13" s="42" t="s">
        <v>23</v>
      </c>
      <c r="H13" s="42"/>
      <c r="I13" s="37" t="s">
        <v>124</v>
      </c>
      <c r="L13" s="44"/>
    </row>
    <row r="14" spans="2:27" ht="15.75">
      <c r="B14" s="13"/>
      <c r="C14" s="7"/>
      <c r="E14" s="7" t="s">
        <v>8</v>
      </c>
      <c r="F14" s="1">
        <v>2.5</v>
      </c>
      <c r="G14" s="42" t="s">
        <v>23</v>
      </c>
      <c r="H14" s="42"/>
      <c r="L14" s="44"/>
    </row>
    <row r="15" spans="2:27" ht="15.75">
      <c r="B15" s="13"/>
      <c r="C15" s="7"/>
      <c r="E15" s="7" t="s">
        <v>9</v>
      </c>
      <c r="F15" s="1">
        <v>1.2</v>
      </c>
      <c r="G15" s="42" t="s">
        <v>23</v>
      </c>
      <c r="H15" s="42"/>
      <c r="I15" s="114" t="s">
        <v>133</v>
      </c>
      <c r="J15" s="115"/>
      <c r="K15" s="118"/>
      <c r="L15" s="44"/>
    </row>
    <row r="16" spans="2:27" ht="15.75">
      <c r="B16" s="13"/>
      <c r="C16" s="7"/>
      <c r="E16" s="7" t="s">
        <v>10</v>
      </c>
      <c r="F16" s="2">
        <v>250</v>
      </c>
      <c r="G16" s="42" t="s">
        <v>28</v>
      </c>
      <c r="H16" s="42"/>
      <c r="I16" s="4"/>
      <c r="L16" s="44"/>
    </row>
    <row r="17" spans="2:17" ht="18" customHeight="1">
      <c r="B17" s="13"/>
      <c r="C17" s="7"/>
      <c r="E17" s="7" t="s">
        <v>11</v>
      </c>
      <c r="F17" s="2">
        <v>165</v>
      </c>
      <c r="G17" s="42" t="s">
        <v>28</v>
      </c>
      <c r="H17" s="42"/>
      <c r="I17" s="87" t="s">
        <v>116</v>
      </c>
      <c r="L17" s="44"/>
    </row>
    <row r="18" spans="2:17" ht="18">
      <c r="B18" s="45"/>
      <c r="C18" s="7"/>
      <c r="E18" s="7" t="s">
        <v>12</v>
      </c>
      <c r="F18" s="2">
        <v>250</v>
      </c>
      <c r="G18" s="42" t="s">
        <v>28</v>
      </c>
      <c r="H18" s="42"/>
      <c r="I18" s="7" t="s">
        <v>3</v>
      </c>
      <c r="J18" s="1">
        <v>0</v>
      </c>
      <c r="K18" s="36" t="s">
        <v>25</v>
      </c>
      <c r="L18" s="44"/>
    </row>
    <row r="19" spans="2:17" ht="30">
      <c r="B19" s="45"/>
      <c r="C19" s="7"/>
      <c r="E19" s="7" t="s">
        <v>13</v>
      </c>
      <c r="F19" s="2">
        <v>200</v>
      </c>
      <c r="G19" s="42" t="s">
        <v>28</v>
      </c>
      <c r="H19" s="42"/>
      <c r="I19" s="7" t="s">
        <v>4</v>
      </c>
      <c r="J19" s="1">
        <v>0</v>
      </c>
      <c r="K19" s="36" t="s">
        <v>25</v>
      </c>
      <c r="L19" s="44"/>
      <c r="N19" s="309"/>
      <c r="O19" s="309"/>
      <c r="P19" s="309"/>
      <c r="Q19" s="309"/>
    </row>
    <row r="20" spans="2:17" ht="30">
      <c r="B20" s="13"/>
      <c r="C20" s="7"/>
      <c r="E20" s="7" t="s">
        <v>19</v>
      </c>
      <c r="F20" s="2">
        <v>9</v>
      </c>
      <c r="G20" s="42" t="s">
        <v>22</v>
      </c>
      <c r="H20" s="42"/>
      <c r="I20" s="4"/>
      <c r="L20" s="44"/>
      <c r="N20" s="309"/>
      <c r="O20" s="309"/>
      <c r="P20" s="309"/>
      <c r="Q20" s="309"/>
    </row>
    <row r="21" spans="2:17" ht="19.5">
      <c r="B21" s="40"/>
      <c r="C21" s="7"/>
      <c r="D21" s="22"/>
      <c r="E21" s="7" t="s">
        <v>123</v>
      </c>
      <c r="F21" s="129">
        <f>ROUND(F*TreadNo/1000,2)</f>
        <v>1.49</v>
      </c>
      <c r="G21" s="42" t="s">
        <v>23</v>
      </c>
      <c r="H21" s="42"/>
      <c r="I21" s="87" t="s">
        <v>149</v>
      </c>
      <c r="L21" s="44"/>
    </row>
    <row r="22" spans="2:17" ht="18">
      <c r="B22" s="40"/>
      <c r="C22" s="7"/>
      <c r="D22" s="22"/>
      <c r="E22" s="37" t="s">
        <v>131</v>
      </c>
      <c r="I22" s="7" t="s">
        <v>150</v>
      </c>
      <c r="J22" s="1">
        <v>3</v>
      </c>
      <c r="K22" s="36" t="s">
        <v>25</v>
      </c>
      <c r="L22" s="41"/>
    </row>
    <row r="23" spans="2:17" ht="18">
      <c r="B23" s="13"/>
      <c r="C23" s="7"/>
      <c r="D23" s="22"/>
      <c r="I23" s="7" t="s">
        <v>151</v>
      </c>
      <c r="J23" s="1">
        <v>3</v>
      </c>
      <c r="K23" s="36" t="s">
        <v>25</v>
      </c>
      <c r="L23" s="5"/>
    </row>
    <row r="24" spans="2:17" ht="15.75">
      <c r="B24" s="13"/>
      <c r="C24" s="7"/>
      <c r="D24" s="22"/>
      <c r="E24" s="114" t="s">
        <v>148</v>
      </c>
      <c r="F24" s="73"/>
      <c r="G24" s="73"/>
      <c r="L24" s="5"/>
    </row>
    <row r="25" spans="2:17" ht="18.75" customHeight="1">
      <c r="B25" s="13"/>
      <c r="C25" s="7"/>
      <c r="D25" s="22"/>
      <c r="H25" s="42"/>
      <c r="I25" s="7" t="s">
        <v>117</v>
      </c>
      <c r="J25" s="1">
        <v>9.81</v>
      </c>
      <c r="K25" s="36" t="s">
        <v>36</v>
      </c>
      <c r="L25" s="112"/>
    </row>
    <row r="26" spans="2:17" ht="15.75">
      <c r="B26" s="13"/>
      <c r="C26" s="7"/>
      <c r="D26" s="22"/>
      <c r="E26" s="7" t="s">
        <v>16</v>
      </c>
      <c r="F26" s="2">
        <v>180</v>
      </c>
      <c r="G26" s="42" t="s">
        <v>28</v>
      </c>
      <c r="H26" s="42"/>
      <c r="L26" s="5"/>
    </row>
    <row r="27" spans="2:17" ht="15.75">
      <c r="B27" s="13"/>
      <c r="C27" s="7"/>
      <c r="E27" s="7" t="s">
        <v>17</v>
      </c>
      <c r="F27" s="2">
        <v>380</v>
      </c>
      <c r="G27" s="42" t="s">
        <v>28</v>
      </c>
      <c r="H27" s="42"/>
      <c r="I27" s="114" t="s">
        <v>120</v>
      </c>
      <c r="J27" s="73"/>
      <c r="K27" s="73"/>
      <c r="L27" s="5"/>
    </row>
    <row r="28" spans="2:17" ht="15.75">
      <c r="B28" s="13"/>
      <c r="C28" s="7"/>
      <c r="E28" s="7" t="s">
        <v>118</v>
      </c>
      <c r="F28" s="436">
        <v>75</v>
      </c>
      <c r="G28" s="42" t="s">
        <v>28</v>
      </c>
      <c r="L28" s="5"/>
    </row>
    <row r="29" spans="2:17" ht="15.75" customHeight="1">
      <c r="B29" s="13"/>
      <c r="C29" s="7"/>
      <c r="D29" s="22"/>
      <c r="E29" s="37" t="s">
        <v>132</v>
      </c>
      <c r="I29" s="7" t="s">
        <v>144</v>
      </c>
      <c r="J29" s="1">
        <v>1.2</v>
      </c>
      <c r="K29" s="42" t="s">
        <v>22</v>
      </c>
      <c r="L29" s="111"/>
    </row>
    <row r="30" spans="2:17" ht="15.75">
      <c r="B30" s="13"/>
      <c r="C30" s="7"/>
      <c r="D30" s="22"/>
      <c r="I30" s="7" t="s">
        <v>145</v>
      </c>
      <c r="J30" s="1">
        <v>1.5</v>
      </c>
      <c r="K30" s="42" t="s">
        <v>22</v>
      </c>
      <c r="L30" s="111"/>
    </row>
    <row r="31" spans="2:17" ht="15.75">
      <c r="B31" s="13"/>
      <c r="C31" s="7"/>
      <c r="D31" s="22"/>
      <c r="E31" s="114" t="s">
        <v>376</v>
      </c>
      <c r="F31" s="73"/>
      <c r="G31" s="73"/>
      <c r="H31" s="42"/>
      <c r="L31" s="5"/>
    </row>
    <row r="32" spans="2:17" ht="15">
      <c r="B32" s="13"/>
      <c r="C32" s="7"/>
      <c r="D32" s="23"/>
      <c r="H32" s="4"/>
      <c r="I32" s="377" t="s">
        <v>119</v>
      </c>
      <c r="J32" s="377"/>
      <c r="K32" s="377"/>
      <c r="L32" s="5"/>
    </row>
    <row r="33" spans="2:12" ht="15.75">
      <c r="B33" s="13"/>
      <c r="C33" s="7"/>
      <c r="D33" s="22"/>
      <c r="E33" s="46" t="s">
        <v>381</v>
      </c>
      <c r="F33" s="2">
        <v>220</v>
      </c>
      <c r="G33" s="42" t="s">
        <v>28</v>
      </c>
      <c r="H33" s="42"/>
      <c r="I33" s="378"/>
      <c r="J33" s="378"/>
      <c r="K33" s="378"/>
      <c r="L33" s="5"/>
    </row>
    <row r="34" spans="2:12" ht="30.75">
      <c r="B34" s="13"/>
      <c r="C34" s="7"/>
      <c r="E34" s="122" t="s">
        <v>373</v>
      </c>
      <c r="F34" s="437">
        <v>70</v>
      </c>
      <c r="G34" s="42" t="s">
        <v>28</v>
      </c>
      <c r="H34" s="42"/>
      <c r="L34" s="5"/>
    </row>
    <row r="35" spans="2:12" ht="15.75">
      <c r="B35" s="13"/>
      <c r="C35" s="7"/>
      <c r="D35" s="22"/>
      <c r="H35" s="42"/>
      <c r="I35" s="43" t="s">
        <v>146</v>
      </c>
      <c r="J35" s="116">
        <v>1</v>
      </c>
      <c r="K35" s="42" t="s">
        <v>22</v>
      </c>
      <c r="L35" s="5"/>
    </row>
    <row r="36" spans="2:12" ht="18.75" customHeight="1">
      <c r="B36" s="13"/>
      <c r="E36" s="387" t="s">
        <v>411</v>
      </c>
      <c r="F36" s="387"/>
      <c r="G36" s="387"/>
      <c r="I36" s="43" t="s">
        <v>147</v>
      </c>
      <c r="J36" s="116">
        <v>0.6</v>
      </c>
      <c r="K36" s="42" t="s">
        <v>22</v>
      </c>
      <c r="L36" s="5"/>
    </row>
    <row r="37" spans="2:12" ht="32.25" customHeight="1">
      <c r="B37" s="13"/>
      <c r="E37" s="387"/>
      <c r="F37" s="387"/>
      <c r="G37" s="387"/>
      <c r="I37" s="124" t="s">
        <v>125</v>
      </c>
      <c r="J37" s="116">
        <v>9.81</v>
      </c>
      <c r="K37" s="117" t="s">
        <v>36</v>
      </c>
      <c r="L37" s="5"/>
    </row>
    <row r="38" spans="2:12" ht="15.75" customHeight="1">
      <c r="B38" s="13"/>
      <c r="E38" s="387"/>
      <c r="F38" s="387"/>
      <c r="G38" s="387"/>
      <c r="I38" s="387" t="s">
        <v>213</v>
      </c>
      <c r="J38" s="387"/>
      <c r="K38" s="387"/>
      <c r="L38" s="5"/>
    </row>
    <row r="39" spans="2:12" ht="15.75" customHeight="1">
      <c r="B39" s="13"/>
      <c r="E39" s="387"/>
      <c r="F39" s="387"/>
      <c r="G39" s="387"/>
      <c r="H39" s="39"/>
      <c r="I39" s="387"/>
      <c r="J39" s="387"/>
      <c r="K39" s="387"/>
      <c r="L39" s="5"/>
    </row>
    <row r="40" spans="2:12" ht="15.75" customHeight="1">
      <c r="B40" s="335"/>
      <c r="C40" s="7"/>
      <c r="D40" s="22"/>
      <c r="E40" s="387"/>
      <c r="F40" s="387"/>
      <c r="G40" s="387"/>
      <c r="I40" s="387"/>
      <c r="J40" s="387"/>
      <c r="K40" s="387"/>
      <c r="L40" s="5"/>
    </row>
    <row r="41" spans="2:12" ht="15.75" customHeight="1">
      <c r="B41" s="19"/>
      <c r="C41" s="7"/>
      <c r="D41" s="22"/>
      <c r="E41" s="387"/>
      <c r="F41" s="387"/>
      <c r="G41" s="387"/>
      <c r="I41" s="387"/>
      <c r="J41" s="387"/>
      <c r="K41" s="387"/>
      <c r="L41" s="5"/>
    </row>
    <row r="42" spans="2:12" ht="15.75" customHeight="1">
      <c r="B42" s="335"/>
      <c r="C42" s="7"/>
      <c r="D42" s="22"/>
      <c r="E42" s="333"/>
      <c r="F42" s="333"/>
      <c r="G42" s="333"/>
      <c r="I42" s="333"/>
      <c r="J42" s="333"/>
      <c r="K42" s="333"/>
      <c r="L42" s="5"/>
    </row>
    <row r="43" spans="2:12" ht="15.75" customHeight="1">
      <c r="B43" s="19"/>
      <c r="C43" s="7"/>
      <c r="D43" s="22"/>
      <c r="E43" s="333"/>
      <c r="F43" s="333"/>
      <c r="G43" s="333"/>
      <c r="I43" s="333"/>
      <c r="J43" s="333"/>
      <c r="K43" s="333"/>
      <c r="L43" s="5"/>
    </row>
    <row r="44" spans="2:12" ht="15.75" customHeight="1">
      <c r="B44" s="335"/>
      <c r="C44" s="7"/>
      <c r="D44" s="22"/>
      <c r="E44" s="333"/>
      <c r="F44" s="333"/>
      <c r="G44" s="333"/>
      <c r="H44" s="336" t="s">
        <v>410</v>
      </c>
      <c r="I44" s="333"/>
      <c r="J44" s="333"/>
      <c r="K44" s="333"/>
      <c r="L44" s="5"/>
    </row>
    <row r="45" spans="2:12" ht="15.75" customHeight="1">
      <c r="B45" s="335"/>
      <c r="C45" s="7"/>
      <c r="D45" s="22"/>
      <c r="E45" s="333"/>
      <c r="F45" s="333"/>
      <c r="G45" s="333"/>
      <c r="H45" s="337" t="s">
        <v>409</v>
      </c>
      <c r="I45" s="333"/>
      <c r="J45" s="333"/>
      <c r="K45" s="333"/>
      <c r="L45" s="5"/>
    </row>
    <row r="46" spans="2:12" ht="15.75" customHeight="1">
      <c r="B46" s="335"/>
      <c r="C46" s="7"/>
      <c r="D46" s="22"/>
      <c r="E46" s="333"/>
      <c r="F46" s="333"/>
      <c r="G46" s="333"/>
      <c r="H46" s="337" t="s">
        <v>408</v>
      </c>
      <c r="I46" s="333"/>
      <c r="J46" s="333"/>
      <c r="K46" s="333"/>
      <c r="L46" s="5"/>
    </row>
    <row r="47" spans="2:12" ht="15.75" customHeight="1">
      <c r="B47" s="335"/>
      <c r="C47" s="7"/>
      <c r="D47" s="22"/>
      <c r="E47" s="333"/>
      <c r="F47" s="333"/>
      <c r="G47" s="333"/>
      <c r="I47" s="333"/>
      <c r="J47" s="333"/>
      <c r="K47" s="333"/>
      <c r="L47" s="5"/>
    </row>
    <row r="48" spans="2:12" ht="15.75" customHeight="1">
      <c r="B48" s="335"/>
      <c r="D48" s="22"/>
      <c r="E48" s="333"/>
      <c r="F48" s="333"/>
      <c r="G48" s="333"/>
      <c r="H48" s="336" t="s">
        <v>413</v>
      </c>
      <c r="I48" s="333"/>
      <c r="J48" s="333"/>
      <c r="K48" s="333"/>
      <c r="L48" s="5"/>
    </row>
    <row r="49" spans="2:12" ht="15.75" customHeight="1">
      <c r="B49" s="335"/>
      <c r="C49" s="338" t="s">
        <v>404</v>
      </c>
      <c r="D49" s="334" t="s">
        <v>402</v>
      </c>
      <c r="F49" s="334" t="s">
        <v>403</v>
      </c>
      <c r="G49" s="333"/>
      <c r="I49" s="333"/>
      <c r="J49" s="333"/>
      <c r="K49" s="333"/>
      <c r="L49" s="5"/>
    </row>
    <row r="50" spans="2:12" ht="15.75" customHeight="1">
      <c r="B50" s="341" t="s">
        <v>214</v>
      </c>
      <c r="C50" s="342"/>
      <c r="D50" s="342"/>
      <c r="E50" s="342"/>
      <c r="F50" s="342"/>
      <c r="G50" s="342"/>
      <c r="H50" s="342"/>
      <c r="I50" s="342"/>
      <c r="J50" s="342"/>
      <c r="K50" s="342"/>
      <c r="L50" s="343"/>
    </row>
    <row r="51" spans="2:12" ht="15.75" customHeight="1">
      <c r="B51" s="13"/>
      <c r="C51" s="7"/>
      <c r="D51" s="22"/>
      <c r="E51" s="123"/>
      <c r="G51" s="123"/>
      <c r="I51" s="155"/>
      <c r="J51" s="155"/>
      <c r="K51" s="155"/>
      <c r="L51" s="5"/>
    </row>
    <row r="52" spans="2:12" ht="15.75" customHeight="1">
      <c r="B52" s="261" t="s">
        <v>365</v>
      </c>
      <c r="C52" s="262"/>
      <c r="D52" s="198"/>
      <c r="E52" s="263"/>
      <c r="G52" s="350" t="s">
        <v>375</v>
      </c>
      <c r="H52" s="350"/>
      <c r="I52" s="350"/>
      <c r="J52" s="350"/>
      <c r="K52" s="350"/>
      <c r="L52" s="5"/>
    </row>
    <row r="53" spans="2:12" ht="15.75" customHeight="1">
      <c r="B53" s="13"/>
      <c r="C53" s="7"/>
      <c r="D53" s="22"/>
      <c r="E53" s="123"/>
      <c r="G53" s="87" t="s">
        <v>377</v>
      </c>
      <c r="H53" s="187"/>
      <c r="J53" s="155"/>
      <c r="K53" s="155"/>
      <c r="L53" s="5"/>
    </row>
    <row r="54" spans="2:12" ht="15.75" customHeight="1">
      <c r="B54" s="185" t="s">
        <v>215</v>
      </c>
      <c r="C54" s="186"/>
      <c r="D54" s="98"/>
      <c r="E54" s="98"/>
      <c r="L54" s="5"/>
    </row>
    <row r="55" spans="2:12" ht="15.75">
      <c r="B55" s="12" t="s">
        <v>366</v>
      </c>
      <c r="C55" s="7"/>
      <c r="D55" s="264">
        <f>MAXA(I266,I267)</f>
        <v>7.19</v>
      </c>
      <c r="G55" s="272" t="s">
        <v>215</v>
      </c>
      <c r="H55" s="272"/>
      <c r="I55" s="272"/>
      <c r="J55" s="272"/>
      <c r="K55" s="272"/>
      <c r="L55" s="5"/>
    </row>
    <row r="56" spans="2:12" ht="15.75">
      <c r="B56" s="12" t="s">
        <v>367</v>
      </c>
      <c r="C56" s="7"/>
      <c r="D56" s="264">
        <f>I268</f>
        <v>34.49</v>
      </c>
      <c r="G56" s="87" t="s">
        <v>374</v>
      </c>
      <c r="H56" s="4"/>
      <c r="I56" s="4"/>
      <c r="J56" s="264">
        <f>QTot.One.Flight.ULS/4</f>
        <v>10.434999999999999</v>
      </c>
      <c r="K56" s="4"/>
      <c r="L56" s="5"/>
    </row>
    <row r="57" spans="2:12" ht="45" customHeight="1">
      <c r="B57" s="419" t="s">
        <v>368</v>
      </c>
      <c r="C57" s="420"/>
      <c r="D57" s="265">
        <f>I264</f>
        <v>1.6500000000000004</v>
      </c>
      <c r="E57" s="141" t="str">
        <f>IF(D57&lt;0,"Uplift may occur","(OK - uplift can not occur)")</f>
        <v>(OK - uplift can not occur)</v>
      </c>
      <c r="G57" s="332"/>
      <c r="H57" s="332"/>
      <c r="I57" s="332"/>
      <c r="J57" s="332"/>
      <c r="K57" s="332"/>
      <c r="L57" s="5"/>
    </row>
    <row r="58" spans="2:12" ht="16.5" customHeight="1">
      <c r="B58" s="300"/>
      <c r="C58" s="301"/>
      <c r="D58" s="265"/>
      <c r="E58" s="141"/>
      <c r="G58" s="350" t="s">
        <v>378</v>
      </c>
      <c r="H58" s="350"/>
      <c r="I58" s="350"/>
      <c r="J58" s="350"/>
      <c r="K58" s="350"/>
      <c r="L58" s="5"/>
    </row>
    <row r="59" spans="2:12" ht="15.75">
      <c r="B59" s="300"/>
      <c r="C59" s="301"/>
      <c r="D59" s="265"/>
      <c r="E59" s="141"/>
      <c r="G59" s="180"/>
      <c r="H59" s="330"/>
      <c r="I59" s="180"/>
      <c r="J59" s="331"/>
      <c r="K59" s="331"/>
      <c r="L59" s="5"/>
    </row>
    <row r="60" spans="2:12" ht="15.75" customHeight="1">
      <c r="B60" s="185" t="s">
        <v>280</v>
      </c>
      <c r="C60" s="186"/>
      <c r="D60" s="98"/>
      <c r="E60" s="98"/>
      <c r="G60" s="424" t="s">
        <v>295</v>
      </c>
      <c r="H60" s="424"/>
      <c r="I60" s="424"/>
      <c r="J60" s="424"/>
      <c r="K60" s="424"/>
      <c r="L60" s="5"/>
    </row>
    <row r="61" spans="2:12" ht="15.75" customHeight="1">
      <c r="B61" s="12" t="s">
        <v>153</v>
      </c>
      <c r="C61" s="7"/>
      <c r="D61" s="265">
        <f>Fha.Front</f>
        <v>27.024999999999999</v>
      </c>
      <c r="L61" s="5"/>
    </row>
    <row r="62" spans="2:12" ht="15.75" customHeight="1">
      <c r="B62" s="12" t="s">
        <v>152</v>
      </c>
      <c r="C62" s="7"/>
      <c r="D62" s="264">
        <f>Fva.Front</f>
        <v>33.129999999999995</v>
      </c>
      <c r="L62" s="5"/>
    </row>
    <row r="63" spans="2:12" ht="15.75" customHeight="1">
      <c r="B63" s="346" t="s">
        <v>216</v>
      </c>
      <c r="C63" s="347"/>
      <c r="D63" s="266">
        <f>MAXA(F337:F341)</f>
        <v>0.33213500370644922</v>
      </c>
      <c r="G63" s="421" t="s">
        <v>379</v>
      </c>
      <c r="H63" s="87" t="s">
        <v>292</v>
      </c>
      <c r="I63" s="273">
        <f>D124</f>
        <v>-14.469999999999999</v>
      </c>
      <c r="J63" s="273">
        <f>D158</f>
        <v>47.598684210526308</v>
      </c>
      <c r="K63" s="273">
        <f>D197</f>
        <v>41.332126730061304</v>
      </c>
      <c r="L63" s="5"/>
    </row>
    <row r="64" spans="2:12" ht="15.75" customHeight="1">
      <c r="B64" s="12"/>
      <c r="C64" s="7"/>
      <c r="D64" s="184"/>
      <c r="E64" s="123"/>
      <c r="G64" s="421"/>
      <c r="H64" s="87" t="s">
        <v>293</v>
      </c>
      <c r="I64" s="273">
        <f>D125</f>
        <v>0</v>
      </c>
      <c r="J64" s="273">
        <f>D159</f>
        <v>-14.469999999999999</v>
      </c>
      <c r="K64" s="273">
        <f>D198</f>
        <v>-13.844411675325521</v>
      </c>
      <c r="L64" s="5"/>
    </row>
    <row r="65" spans="2:15" ht="15.75" customHeight="1">
      <c r="B65" s="344" t="s">
        <v>401</v>
      </c>
      <c r="C65" s="345"/>
      <c r="D65" s="345"/>
      <c r="E65" s="345"/>
      <c r="F65" s="187"/>
      <c r="G65" s="422"/>
      <c r="H65" s="271" t="s">
        <v>294</v>
      </c>
      <c r="I65" s="274">
        <f>D126</f>
        <v>11.547059999999998</v>
      </c>
      <c r="J65" s="274">
        <f>D160</f>
        <v>-21.133815789473683</v>
      </c>
      <c r="K65" s="274">
        <f>D199</f>
        <v>-18.653140473607628</v>
      </c>
      <c r="L65" s="5"/>
    </row>
    <row r="66" spans="2:15" ht="15.75" customHeight="1">
      <c r="B66" s="344"/>
      <c r="C66" s="345"/>
      <c r="D66" s="345"/>
      <c r="E66" s="345"/>
      <c r="F66" s="187"/>
      <c r="G66" s="423" t="s">
        <v>380</v>
      </c>
      <c r="H66" s="87" t="s">
        <v>292</v>
      </c>
      <c r="I66" s="273">
        <f>D128</f>
        <v>-14.469999999999999</v>
      </c>
      <c r="J66" s="273">
        <f>D162</f>
        <v>-47.598684210526308</v>
      </c>
      <c r="K66" s="273">
        <f>D201</f>
        <v>-49.749529028659225</v>
      </c>
      <c r="L66" s="5"/>
    </row>
    <row r="67" spans="2:15" ht="15.75" customHeight="1">
      <c r="B67" s="344"/>
      <c r="C67" s="345"/>
      <c r="D67" s="345"/>
      <c r="E67" s="345"/>
      <c r="F67" s="187"/>
      <c r="G67" s="421"/>
      <c r="H67" s="87" t="s">
        <v>293</v>
      </c>
      <c r="I67" s="273">
        <f>D129</f>
        <v>0</v>
      </c>
      <c r="J67" s="273">
        <f>D163</f>
        <v>-14.469999999999999</v>
      </c>
      <c r="K67" s="273">
        <f>D202</f>
        <v>-13.844411675325521</v>
      </c>
      <c r="L67" s="5"/>
    </row>
    <row r="68" spans="2:15" ht="15.75" customHeight="1">
      <c r="B68" s="188"/>
      <c r="C68" s="189"/>
      <c r="D68" s="189"/>
      <c r="E68" s="189"/>
      <c r="F68" s="187"/>
      <c r="G68" s="421"/>
      <c r="H68" s="87" t="s">
        <v>294</v>
      </c>
      <c r="I68" s="273">
        <f>D130</f>
        <v>11.547059999999998</v>
      </c>
      <c r="J68" s="273">
        <f>D164</f>
        <v>35.603815789473686</v>
      </c>
      <c r="K68" s="273">
        <f>D203</f>
        <v>35.631526358589809</v>
      </c>
      <c r="L68" s="5"/>
    </row>
    <row r="69" spans="2:15" ht="15.75" customHeight="1">
      <c r="B69" s="188"/>
      <c r="C69" s="189"/>
      <c r="D69" s="189"/>
      <c r="E69" s="189"/>
      <c r="F69" s="187"/>
      <c r="G69" s="426" t="str">
        <f>B120</f>
        <v/>
      </c>
      <c r="H69" s="426"/>
      <c r="I69" s="426"/>
      <c r="J69" s="426"/>
      <c r="K69" s="426"/>
      <c r="L69" s="5"/>
    </row>
    <row r="70" spans="2:15" ht="15.75">
      <c r="B70" s="188"/>
      <c r="C70" s="189"/>
      <c r="D70" s="189"/>
      <c r="E70" s="189"/>
      <c r="F70" s="123"/>
      <c r="G70" s="426" t="str">
        <f>B153</f>
        <v>NOTE: Calculations implies UPLIFT forces in the reinforced joints between the flight and the landing.</v>
      </c>
      <c r="H70" s="426"/>
      <c r="I70" s="426"/>
      <c r="J70" s="426"/>
      <c r="K70" s="426"/>
      <c r="L70" s="5"/>
    </row>
    <row r="71" spans="2:15" ht="15.75">
      <c r="B71" s="341" t="s">
        <v>210</v>
      </c>
      <c r="C71" s="342"/>
      <c r="D71" s="342"/>
      <c r="E71" s="342"/>
      <c r="F71" s="342"/>
      <c r="G71" s="342"/>
      <c r="H71" s="342"/>
      <c r="I71" s="342"/>
      <c r="J71" s="342"/>
      <c r="K71" s="342"/>
      <c r="L71" s="343"/>
    </row>
    <row r="72" spans="2:15" ht="15.75">
      <c r="B72" s="131"/>
      <c r="C72" s="132"/>
      <c r="D72" s="132"/>
      <c r="E72" s="132"/>
      <c r="F72" s="132"/>
      <c r="G72" s="132"/>
      <c r="H72" s="132"/>
      <c r="I72" s="132"/>
      <c r="J72" s="132"/>
      <c r="K72" s="132"/>
      <c r="L72" s="133"/>
    </row>
    <row r="73" spans="2:15" ht="15.75" customHeight="1">
      <c r="B73" s="415" t="s">
        <v>382</v>
      </c>
      <c r="C73" s="416"/>
      <c r="D73" s="416"/>
      <c r="E73" s="416"/>
      <c r="F73" s="416"/>
      <c r="G73" s="416"/>
      <c r="H73" s="416"/>
      <c r="I73" s="416"/>
      <c r="J73" s="416"/>
      <c r="K73" s="416"/>
      <c r="L73" s="417"/>
    </row>
    <row r="74" spans="2:15" ht="15.75" customHeight="1">
      <c r="B74" s="418"/>
      <c r="C74" s="416"/>
      <c r="D74" s="416"/>
      <c r="E74" s="416"/>
      <c r="F74" s="416"/>
      <c r="G74" s="416"/>
      <c r="H74" s="416"/>
      <c r="I74" s="416"/>
      <c r="J74" s="416"/>
      <c r="K74" s="416"/>
      <c r="L74" s="417"/>
    </row>
    <row r="75" spans="2:15" ht="15.75" customHeight="1">
      <c r="B75" s="418"/>
      <c r="C75" s="416"/>
      <c r="D75" s="416"/>
      <c r="E75" s="416"/>
      <c r="F75" s="416"/>
      <c r="G75" s="416"/>
      <c r="H75" s="416"/>
      <c r="I75" s="416"/>
      <c r="J75" s="416"/>
      <c r="K75" s="416"/>
      <c r="L75" s="417"/>
    </row>
    <row r="76" spans="2:15" ht="15.75" customHeight="1">
      <c r="B76" s="418"/>
      <c r="C76" s="416"/>
      <c r="D76" s="416"/>
      <c r="E76" s="416"/>
      <c r="F76" s="416"/>
      <c r="G76" s="416"/>
      <c r="H76" s="416"/>
      <c r="I76" s="416"/>
      <c r="J76" s="416"/>
      <c r="K76" s="416"/>
      <c r="L76" s="417"/>
    </row>
    <row r="77" spans="2:15" ht="15.75">
      <c r="B77" s="131"/>
      <c r="C77" s="132"/>
      <c r="D77" s="132"/>
      <c r="E77" s="132"/>
      <c r="F77" s="132"/>
      <c r="G77" s="132"/>
      <c r="H77" s="132"/>
      <c r="I77" s="132"/>
      <c r="J77" s="132"/>
      <c r="K77" s="132"/>
      <c r="L77" s="133"/>
      <c r="O77" s="267"/>
    </row>
    <row r="78" spans="2:15" ht="15.75">
      <c r="B78" s="152" t="s">
        <v>211</v>
      </c>
      <c r="C78" s="153"/>
      <c r="D78" s="153"/>
      <c r="E78" s="153"/>
      <c r="F78" s="153"/>
      <c r="G78" s="153"/>
      <c r="H78" s="153"/>
      <c r="I78" s="153"/>
      <c r="J78" s="153"/>
      <c r="K78" s="388"/>
      <c r="L78" s="389"/>
      <c r="O78" s="267"/>
    </row>
    <row r="79" spans="2:15" ht="15.75">
      <c r="B79" s="6" t="s">
        <v>27</v>
      </c>
      <c r="C79" s="7"/>
      <c r="D79" s="7"/>
      <c r="E79" s="7"/>
      <c r="F79" s="8"/>
      <c r="G79" s="4"/>
      <c r="H79" s="4"/>
      <c r="I79" s="4"/>
      <c r="J79" s="4"/>
      <c r="K79" s="4"/>
      <c r="L79" s="9"/>
    </row>
    <row r="80" spans="2:15" ht="18">
      <c r="B80" s="48"/>
      <c r="C80" s="7"/>
      <c r="D80" s="7"/>
      <c r="E80" s="7"/>
      <c r="F80" s="8"/>
      <c r="G80" s="4"/>
      <c r="H80" s="4"/>
      <c r="I80" s="4"/>
      <c r="J80" s="4"/>
      <c r="K80" s="4"/>
      <c r="L80" s="9"/>
    </row>
    <row r="81" spans="2:25" ht="15">
      <c r="B81" s="13" t="s">
        <v>34</v>
      </c>
      <c r="D81" s="11">
        <f>SQRT(F^2+G^2)*Ce*1000/G</f>
        <v>2995.4131601500321</v>
      </c>
      <c r="E81" s="284"/>
      <c r="F81" s="285"/>
      <c r="G81" s="4"/>
      <c r="H81" s="4"/>
      <c r="I81" s="4"/>
      <c r="J81" s="4"/>
      <c r="K81" s="4"/>
      <c r="L81" s="9"/>
    </row>
    <row r="82" spans="2:25" ht="16.5" customHeight="1">
      <c r="B82" s="13" t="s">
        <v>42</v>
      </c>
      <c r="D82" s="121">
        <f>D-K*2/1000</f>
        <v>0.76</v>
      </c>
      <c r="E82" s="42"/>
      <c r="F82" s="8"/>
      <c r="G82" s="4"/>
      <c r="H82" s="4"/>
      <c r="I82" s="4"/>
      <c r="J82" s="4"/>
      <c r="K82" s="4"/>
      <c r="L82" s="9"/>
    </row>
    <row r="83" spans="2:25" ht="16.5" customHeight="1">
      <c r="B83" s="13"/>
      <c r="C83" s="11"/>
      <c r="E83" s="4"/>
      <c r="F83" s="8"/>
      <c r="G83" s="126"/>
      <c r="H83" s="4"/>
      <c r="I83" s="4"/>
      <c r="J83" s="4"/>
      <c r="K83" s="4"/>
      <c r="L83" s="9"/>
    </row>
    <row r="84" spans="2:25" ht="16.5" customHeight="1">
      <c r="B84" s="128" t="s">
        <v>20</v>
      </c>
      <c r="C84" s="4"/>
      <c r="D84" s="4"/>
      <c r="E84" s="376" t="s">
        <v>121</v>
      </c>
      <c r="F84" s="376"/>
      <c r="G84" s="191"/>
      <c r="H84" s="192"/>
      <c r="I84" s="193" t="s">
        <v>122</v>
      </c>
      <c r="J84" s="192"/>
      <c r="K84" s="4"/>
      <c r="L84" s="5"/>
    </row>
    <row r="85" spans="2:25" ht="15">
      <c r="B85" s="13" t="s">
        <v>39</v>
      </c>
      <c r="C85" s="7"/>
      <c r="D85" s="14">
        <f>D81/1000*H/1000*D*ConcreteDensity</f>
        <v>17.97247896090019</v>
      </c>
      <c r="E85" s="7"/>
      <c r="F85" s="7"/>
      <c r="G85" s="126"/>
      <c r="H85" s="4"/>
      <c r="J85" s="4"/>
      <c r="K85" s="4"/>
      <c r="L85" s="15"/>
    </row>
    <row r="86" spans="2:25" ht="15">
      <c r="B86" s="13" t="s">
        <v>40</v>
      </c>
      <c r="C86" s="7"/>
      <c r="D86" s="14">
        <f>F/1000*G/2000*D*TreadNo*ConcreteDensity</f>
        <v>5.5687499999999996</v>
      </c>
      <c r="E86" s="7"/>
      <c r="F86" s="7"/>
      <c r="G86" s="126"/>
      <c r="H86" s="4"/>
      <c r="I86" s="4"/>
      <c r="J86" s="4"/>
      <c r="K86" s="4"/>
      <c r="L86" s="15"/>
    </row>
    <row r="87" spans="2:25" ht="15">
      <c r="B87" s="13" t="s">
        <v>14</v>
      </c>
      <c r="C87" s="7"/>
      <c r="D87" s="14">
        <f>Ce*D*FinishesFlight</f>
        <v>0</v>
      </c>
      <c r="G87" s="126"/>
      <c r="H87" s="4"/>
      <c r="K87" s="4"/>
      <c r="L87" s="15"/>
    </row>
    <row r="88" spans="2:25" ht="15.75">
      <c r="B88" s="13" t="s">
        <v>142</v>
      </c>
      <c r="C88" s="7"/>
      <c r="D88" s="14">
        <f>D85+D86+D87</f>
        <v>23.541228960900192</v>
      </c>
      <c r="E88" s="16" t="str">
        <f>"x "&amp;DLfactorALS&amp;" ="</f>
        <v>x 1 =</v>
      </c>
      <c r="F88" s="17">
        <f>ROUNDDOWN(QTot.Flight.Deadload*DLfactorALS,2)</f>
        <v>23.54</v>
      </c>
      <c r="G88" s="126"/>
      <c r="H88" s="4"/>
      <c r="I88" s="16" t="str">
        <f>"x "&amp;DLfactorULS&amp;" ="</f>
        <v>x 1,2 =</v>
      </c>
      <c r="J88" s="17">
        <f>ROUNDDOWN(QTot.Flight.Deadload*DLfactorULS,2)</f>
        <v>28.24</v>
      </c>
      <c r="K88" s="4"/>
      <c r="L88" s="18"/>
    </row>
    <row r="89" spans="2:25">
      <c r="B89" s="19"/>
      <c r="C89" s="4"/>
      <c r="D89" s="20"/>
      <c r="E89" s="4"/>
      <c r="F89" s="21"/>
      <c r="G89" s="126"/>
      <c r="H89" s="4"/>
      <c r="I89" s="4"/>
      <c r="J89" s="4"/>
      <c r="K89" s="4"/>
      <c r="L89" s="5"/>
    </row>
    <row r="90" spans="2:25" ht="15">
      <c r="B90" s="128" t="s">
        <v>21</v>
      </c>
      <c r="C90" s="4"/>
      <c r="D90" s="20"/>
      <c r="E90" s="4"/>
      <c r="F90" s="21"/>
      <c r="G90" s="126"/>
      <c r="H90" s="4"/>
      <c r="I90" s="4"/>
      <c r="J90" s="4"/>
      <c r="K90" s="4"/>
      <c r="L90" s="5"/>
    </row>
    <row r="91" spans="2:25" ht="15">
      <c r="B91" s="13" t="s">
        <v>15</v>
      </c>
      <c r="C91" s="22"/>
      <c r="D91" s="14">
        <f>ROUNDDOWN(Ce*D*LiveloadFlight,2)</f>
        <v>9</v>
      </c>
      <c r="E91" s="4"/>
      <c r="F91" s="21"/>
      <c r="G91" s="126"/>
      <c r="H91" s="4"/>
      <c r="I91" s="4"/>
      <c r="J91" s="4"/>
      <c r="K91" s="4"/>
      <c r="L91" s="5"/>
      <c r="Y91" s="56"/>
    </row>
    <row r="92" spans="2:25" ht="15.75">
      <c r="B92" s="13" t="s">
        <v>141</v>
      </c>
      <c r="C92" s="7"/>
      <c r="D92" s="14">
        <f>D91</f>
        <v>9</v>
      </c>
      <c r="E92" s="16" t="str">
        <f>"x "&amp;LLfactorALS&amp;" ="</f>
        <v>x 0,6 =</v>
      </c>
      <c r="F92" s="17">
        <f>ROUNDDOWN(QTot.Flight.Liveload*LLfactorALS,2)</f>
        <v>5.4</v>
      </c>
      <c r="G92" s="126"/>
      <c r="H92" s="4"/>
      <c r="I92" s="16" t="str">
        <f>"x "&amp;LLfactorULS&amp;" ="</f>
        <v>x 1,5 =</v>
      </c>
      <c r="J92" s="17">
        <f>ROUNDDOWN(QTot.Flight.Liveload*LLfactorULS,2)</f>
        <v>13.5</v>
      </c>
      <c r="K92" s="4"/>
      <c r="L92" s="18"/>
    </row>
    <row r="93" spans="2:25" ht="15">
      <c r="B93" s="13"/>
      <c r="C93" s="23"/>
      <c r="D93" s="22"/>
      <c r="E93" s="7"/>
      <c r="F93" s="21"/>
      <c r="G93" s="126"/>
      <c r="H93" s="4"/>
      <c r="I93" s="4"/>
      <c r="J93" s="4"/>
      <c r="K93" s="4"/>
      <c r="L93" s="15"/>
    </row>
    <row r="94" spans="2:25" ht="19.5">
      <c r="B94" s="142" t="s">
        <v>126</v>
      </c>
      <c r="C94" s="134"/>
      <c r="D94" s="106" t="s">
        <v>128</v>
      </c>
      <c r="E94" s="74" t="str">
        <f>""&amp;ROUND(F88,2)&amp;"kN  + "&amp;ROUND(F92,2)&amp;"kN ="</f>
        <v>23,54kN  + 5,4kN =</v>
      </c>
      <c r="F94" s="183">
        <f>F92+F88</f>
        <v>28.939999999999998</v>
      </c>
      <c r="G94" s="348" t="s">
        <v>127</v>
      </c>
      <c r="H94" s="349"/>
      <c r="I94" s="74" t="str">
        <f>""&amp;ROUND(J88,2)&amp;"kN  + "&amp;ROUND(J92,2)&amp;"kN ="</f>
        <v>28,24kN  + 13,5kN =</v>
      </c>
      <c r="J94" s="183">
        <f>J92+J88</f>
        <v>41.739999999999995</v>
      </c>
      <c r="K94" s="4"/>
      <c r="L94" s="15"/>
    </row>
    <row r="95" spans="2:25" ht="15">
      <c r="B95" s="12"/>
      <c r="C95" s="182"/>
      <c r="D95" s="22"/>
      <c r="E95" s="16"/>
      <c r="F95" s="17"/>
      <c r="G95" s="29"/>
      <c r="H95" s="29"/>
      <c r="I95" s="16"/>
      <c r="J95" s="17"/>
      <c r="K95" s="4"/>
      <c r="L95" s="15"/>
    </row>
    <row r="96" spans="2:25" ht="15.75">
      <c r="B96" s="6" t="s">
        <v>207</v>
      </c>
      <c r="K96" s="4"/>
      <c r="L96" s="15"/>
    </row>
    <row r="97" spans="2:12" ht="15.75">
      <c r="B97" s="6"/>
      <c r="K97" s="4"/>
      <c r="L97" s="15"/>
    </row>
    <row r="98" spans="2:12" ht="15.75">
      <c r="B98" s="128" t="s">
        <v>20</v>
      </c>
      <c r="C98" s="22"/>
      <c r="D98" s="7"/>
      <c r="E98" s="425" t="s">
        <v>135</v>
      </c>
      <c r="F98" s="425"/>
      <c r="G98" s="194"/>
      <c r="H98" s="195"/>
      <c r="I98" s="196" t="s">
        <v>122</v>
      </c>
      <c r="J98" s="195"/>
      <c r="K98" s="4"/>
      <c r="L98" s="15"/>
    </row>
    <row r="99" spans="2:12" ht="15">
      <c r="B99" s="13" t="s">
        <v>41</v>
      </c>
      <c r="C99" s="7"/>
      <c r="D99" s="14">
        <f>ROUNDDOWN(A*B*E/1000*ConcreteDensity,2)</f>
        <v>19.5</v>
      </c>
      <c r="E99" s="7"/>
      <c r="F99" s="7"/>
      <c r="G99" s="135"/>
      <c r="H99" s="11"/>
      <c r="I99" s="16"/>
      <c r="J99" s="34"/>
      <c r="K99" s="4"/>
      <c r="L99" s="15"/>
    </row>
    <row r="100" spans="2:12" ht="15">
      <c r="B100" s="40" t="s">
        <v>37</v>
      </c>
      <c r="C100" s="7"/>
      <c r="D100" s="14">
        <f>ROUNDDOWN(A*B*FinishesLanding,2)</f>
        <v>0</v>
      </c>
      <c r="E100" s="7"/>
      <c r="F100" s="7"/>
      <c r="G100" s="135"/>
      <c r="H100" s="11"/>
      <c r="I100" s="16"/>
      <c r="J100" s="34"/>
      <c r="K100" s="4"/>
      <c r="L100" s="15"/>
    </row>
    <row r="101" spans="2:12" ht="15">
      <c r="B101" s="13" t="s">
        <v>208</v>
      </c>
      <c r="C101" s="7"/>
      <c r="D101" s="14">
        <f>ROUNDDOWN((D100+D99),2)</f>
        <v>19.5</v>
      </c>
      <c r="E101" s="16" t="str">
        <f>"x "&amp;DLfactorALS&amp;" ="</f>
        <v>x 1 =</v>
      </c>
      <c r="F101" s="17">
        <f>ROUNDDOWN(QTot.Landing.Deadload*DLfactorALS,2)</f>
        <v>19.5</v>
      </c>
      <c r="G101" s="135"/>
      <c r="H101" s="16"/>
      <c r="I101" s="16" t="str">
        <f>"x "&amp;DLfactorULS&amp;" ="</f>
        <v>x 1,2 =</v>
      </c>
      <c r="J101" s="17">
        <f>ROUNDDOWN(QTot.Landing.Deadload*DLfactorULS,2)</f>
        <v>23.4</v>
      </c>
      <c r="K101" s="4"/>
      <c r="L101" s="15"/>
    </row>
    <row r="102" spans="2:12" ht="15">
      <c r="B102" s="19"/>
      <c r="C102" s="4"/>
      <c r="D102" s="4"/>
      <c r="E102" s="4"/>
      <c r="F102" s="69"/>
      <c r="G102" s="135"/>
      <c r="H102" s="11"/>
      <c r="I102" s="16"/>
      <c r="J102" s="34"/>
      <c r="K102" s="4"/>
      <c r="L102" s="15"/>
    </row>
    <row r="103" spans="2:12" ht="15">
      <c r="B103" s="128" t="s">
        <v>21</v>
      </c>
      <c r="C103" s="4"/>
      <c r="D103" s="4"/>
      <c r="E103" s="4"/>
      <c r="F103" s="69"/>
      <c r="G103" s="135"/>
      <c r="K103" s="4"/>
      <c r="L103" s="15"/>
    </row>
    <row r="104" spans="2:12" ht="15">
      <c r="B104" s="13" t="s">
        <v>38</v>
      </c>
      <c r="C104" s="4"/>
      <c r="D104" s="14">
        <f>ROUNDDOWN(A*B*LiveloadLanding,2)</f>
        <v>9.36</v>
      </c>
      <c r="E104" s="7"/>
      <c r="F104" s="69"/>
      <c r="G104" s="135"/>
      <c r="K104" s="4"/>
      <c r="L104" s="15"/>
    </row>
    <row r="105" spans="2:12" ht="15">
      <c r="B105" s="13" t="s">
        <v>209</v>
      </c>
      <c r="C105" s="7"/>
      <c r="D105" s="14">
        <f>D104</f>
        <v>9.36</v>
      </c>
      <c r="E105" s="16" t="str">
        <f>"x "&amp;LLfactorALS&amp;" ="</f>
        <v>x 0,6 =</v>
      </c>
      <c r="F105" s="17">
        <f>ROUNDDOWN(QTot.Landing.Liveload*LLfactorALS,2)</f>
        <v>5.61</v>
      </c>
      <c r="G105" s="135"/>
      <c r="I105" s="16" t="str">
        <f>"x "&amp;LLfactorULS&amp;" ="</f>
        <v>x 1,5 =</v>
      </c>
      <c r="J105" s="17">
        <f>ROUNDDOWN(QTot.Landing.Liveload*LLfactorULS,2)</f>
        <v>14.04</v>
      </c>
      <c r="K105" s="4"/>
      <c r="L105" s="15"/>
    </row>
    <row r="106" spans="2:12" ht="15">
      <c r="B106" s="13"/>
      <c r="C106" s="23"/>
      <c r="D106" s="22"/>
      <c r="E106" s="7"/>
      <c r="F106" s="69"/>
      <c r="G106" s="135"/>
      <c r="K106" s="4"/>
      <c r="L106" s="15"/>
    </row>
    <row r="107" spans="2:12" ht="19.5">
      <c r="B107" s="142" t="s">
        <v>134</v>
      </c>
      <c r="C107" s="106"/>
      <c r="D107" s="106" t="s">
        <v>154</v>
      </c>
      <c r="E107" s="107" t="str">
        <f>""&amp;ROUND(F101,2)&amp;"kN"&amp;"  + "&amp;ROUND(F105,2)&amp;"kN"&amp;" ="</f>
        <v>19,5kN  + 5,61kN =</v>
      </c>
      <c r="F107" s="183">
        <f>F105+F101</f>
        <v>25.11</v>
      </c>
      <c r="G107" s="127"/>
      <c r="H107" s="106" t="s">
        <v>155</v>
      </c>
      <c r="I107" s="107" t="str">
        <f>""&amp;ROUND(J101,2)&amp;"kN"&amp;"  + "&amp;ROUND(J105,2)&amp;"kN"&amp;" ="</f>
        <v>23,4kN  + 14,04kN =</v>
      </c>
      <c r="J107" s="183">
        <f>J105+J101</f>
        <v>37.44</v>
      </c>
      <c r="K107" s="4"/>
      <c r="L107" s="15"/>
    </row>
    <row r="108" spans="2:12" ht="15">
      <c r="B108" s="12"/>
      <c r="G108" s="24"/>
      <c r="H108" s="24"/>
      <c r="I108" s="25"/>
      <c r="J108" s="25"/>
      <c r="K108" s="25"/>
      <c r="L108" s="26"/>
    </row>
    <row r="109" spans="2:12" ht="15">
      <c r="B109" s="19"/>
      <c r="C109" s="4"/>
      <c r="D109" s="4"/>
      <c r="E109" s="4"/>
      <c r="F109" s="27"/>
      <c r="G109" s="4"/>
      <c r="H109" s="4"/>
      <c r="I109" s="25"/>
      <c r="J109" s="25"/>
      <c r="K109" s="25"/>
      <c r="L109" s="26"/>
    </row>
    <row r="110" spans="2:12" ht="18.75">
      <c r="B110" s="152" t="s">
        <v>405</v>
      </c>
      <c r="C110" s="153"/>
      <c r="D110" s="153"/>
      <c r="E110" s="153"/>
      <c r="F110" s="153"/>
      <c r="G110" s="153"/>
      <c r="H110" s="153"/>
      <c r="I110" s="153"/>
      <c r="J110" s="153"/>
      <c r="K110" s="374" t="s">
        <v>195</v>
      </c>
      <c r="L110" s="375"/>
    </row>
    <row r="111" spans="2:12" ht="15.75">
      <c r="B111" s="12" t="s">
        <v>50</v>
      </c>
      <c r="C111" s="4"/>
      <c r="D111" s="22"/>
      <c r="E111" s="7"/>
      <c r="F111" s="28"/>
      <c r="G111" s="24"/>
      <c r="H111" s="24"/>
      <c r="I111" s="25"/>
      <c r="J111" s="4"/>
      <c r="K111" s="25"/>
      <c r="L111" s="26"/>
    </row>
    <row r="112" spans="2:12" ht="15.75">
      <c r="B112" s="12"/>
      <c r="C112" s="4"/>
      <c r="D112" s="22"/>
      <c r="E112" s="7"/>
      <c r="F112" s="28"/>
      <c r="G112" s="24"/>
      <c r="H112" s="24"/>
      <c r="I112" s="80"/>
      <c r="J112" s="25"/>
      <c r="K112" s="25"/>
      <c r="L112" s="26"/>
    </row>
    <row r="113" spans="2:65" ht="19.5">
      <c r="B113" s="12" t="s">
        <v>202</v>
      </c>
      <c r="C113" s="4"/>
      <c r="D113" s="22"/>
      <c r="E113" s="10" t="s">
        <v>297</v>
      </c>
      <c r="F113" s="14">
        <f>QTot.One.Flight.ALS*(ad/gv)</f>
        <v>28.939999999999998</v>
      </c>
      <c r="G113" s="24"/>
      <c r="H113" s="24"/>
      <c r="I113" s="25"/>
      <c r="J113" s="25"/>
      <c r="K113" s="25"/>
      <c r="L113" s="26"/>
    </row>
    <row r="114" spans="2:65" ht="15.75">
      <c r="B114" s="12"/>
      <c r="C114" s="4"/>
      <c r="D114" s="22"/>
      <c r="E114" s="7"/>
      <c r="F114" s="28"/>
      <c r="G114" s="24"/>
      <c r="H114" s="24"/>
      <c r="I114" s="24"/>
      <c r="J114" s="24"/>
      <c r="K114" s="24"/>
      <c r="L114" s="26"/>
    </row>
    <row r="115" spans="2:65" ht="19.5">
      <c r="B115" s="12" t="s">
        <v>388</v>
      </c>
      <c r="C115" s="4"/>
      <c r="D115" s="22"/>
      <c r="E115" s="23" t="s">
        <v>52</v>
      </c>
      <c r="F115" s="14">
        <f>0.5*Fax</f>
        <v>14.469999999999999</v>
      </c>
      <c r="G115" s="24"/>
      <c r="H115" s="24"/>
      <c r="I115" s="23"/>
      <c r="J115" s="25"/>
      <c r="K115" s="25"/>
      <c r="L115" s="26"/>
    </row>
    <row r="116" spans="2:65" ht="19.5">
      <c r="B116" s="12" t="s">
        <v>387</v>
      </c>
      <c r="C116" s="4"/>
      <c r="D116" s="22"/>
      <c r="E116" s="23" t="s">
        <v>54</v>
      </c>
      <c r="F116" s="14">
        <f>0</f>
        <v>0</v>
      </c>
      <c r="G116" s="24"/>
      <c r="H116" s="24"/>
      <c r="I116" s="23"/>
      <c r="J116" s="25"/>
      <c r="K116" s="25"/>
      <c r="L116" s="26"/>
    </row>
    <row r="117" spans="2:65" ht="19.5">
      <c r="B117" s="12" t="s">
        <v>386</v>
      </c>
      <c r="C117" s="4"/>
      <c r="D117" s="22"/>
      <c r="E117" s="23" t="s">
        <v>53</v>
      </c>
      <c r="F117" s="14">
        <f>0.5*(Fax*(Htot/2)/Ce)</f>
        <v>4.3120599999999998</v>
      </c>
      <c r="G117" s="90"/>
      <c r="H117" s="90"/>
      <c r="I117" s="25"/>
      <c r="J117" s="25"/>
      <c r="K117" s="25"/>
      <c r="L117" s="26"/>
    </row>
    <row r="118" spans="2:65" ht="19.5">
      <c r="B118" s="12" t="s">
        <v>383</v>
      </c>
      <c r="C118" s="4"/>
      <c r="D118" s="22"/>
      <c r="E118" s="23" t="s">
        <v>129</v>
      </c>
      <c r="F118" s="14">
        <f>QTot.One.Flight.ALS/4</f>
        <v>7.2349999999999994</v>
      </c>
      <c r="G118" s="24"/>
      <c r="H118" s="24"/>
      <c r="I118" s="25"/>
      <c r="J118" s="25"/>
      <c r="K118" s="25"/>
      <c r="L118" s="26"/>
    </row>
    <row r="119" spans="2:65" ht="19.5">
      <c r="B119" s="12" t="s">
        <v>94</v>
      </c>
      <c r="C119" s="4"/>
      <c r="D119" s="22"/>
      <c r="E119" s="23"/>
      <c r="F119" s="17"/>
      <c r="G119" s="24"/>
      <c r="H119" s="24"/>
      <c r="I119" s="76"/>
      <c r="J119" s="25"/>
      <c r="K119" s="25"/>
      <c r="L119" s="26"/>
    </row>
    <row r="120" spans="2:65" ht="15">
      <c r="B120" s="99" t="str">
        <f>IF(FzFax&gt;Fzgravity,"WARNING: Outside valid range of spreadsheed. Calculated forces implies LIFT OFF at base of flight.","")</f>
        <v/>
      </c>
      <c r="C120" s="4"/>
      <c r="D120" s="22"/>
      <c r="E120" s="23"/>
      <c r="F120" s="17"/>
      <c r="G120" s="24"/>
      <c r="H120" s="24"/>
      <c r="I120" s="76"/>
      <c r="J120" s="25"/>
      <c r="K120" s="25"/>
      <c r="L120" s="26"/>
      <c r="AC120" s="51"/>
      <c r="AD120" s="51"/>
      <c r="AE120" s="51"/>
      <c r="AF120" s="51"/>
      <c r="AG120" s="51"/>
      <c r="AH120" s="51"/>
      <c r="AI120" s="51"/>
      <c r="AJ120" s="51"/>
      <c r="AK120" s="51"/>
      <c r="AL120" s="51"/>
      <c r="AM120" s="51"/>
      <c r="AN120" s="51"/>
      <c r="AO120" s="51"/>
      <c r="AP120" s="51"/>
      <c r="AQ120" s="51"/>
      <c r="AR120" s="51"/>
      <c r="AS120" s="51"/>
      <c r="AW120" s="51"/>
      <c r="AX120" s="51"/>
      <c r="AY120" s="51"/>
      <c r="AZ120" s="51"/>
      <c r="BA120" s="51"/>
      <c r="BB120" s="51"/>
      <c r="BC120" s="51"/>
      <c r="BD120" s="51"/>
      <c r="BE120" s="51"/>
      <c r="BF120" s="51"/>
      <c r="BG120" s="51"/>
      <c r="BH120" s="51"/>
      <c r="BI120" s="51"/>
      <c r="BJ120" s="51"/>
      <c r="BK120" s="51"/>
      <c r="BL120" s="51"/>
      <c r="BM120" s="51"/>
    </row>
    <row r="121" spans="2:65" ht="18">
      <c r="B121" s="197" t="s">
        <v>283</v>
      </c>
      <c r="C121" s="195"/>
      <c r="D121" s="198"/>
      <c r="E121" s="199"/>
      <c r="F121" s="200"/>
      <c r="G121" s="201"/>
      <c r="H121" s="90"/>
      <c r="I121" s="91"/>
      <c r="J121" s="25"/>
      <c r="K121" s="25"/>
      <c r="L121" s="26"/>
      <c r="AC121" s="51"/>
      <c r="AD121" s="51"/>
      <c r="AE121" s="51"/>
      <c r="AF121" s="51"/>
      <c r="AG121" s="51"/>
      <c r="AH121" s="51"/>
      <c r="AI121" s="51"/>
      <c r="AJ121" s="51"/>
      <c r="AK121" s="51"/>
      <c r="AL121" s="51"/>
      <c r="AM121" s="51"/>
      <c r="AN121" s="51"/>
      <c r="AO121" s="51"/>
      <c r="AP121" s="51"/>
      <c r="AQ121" s="51"/>
      <c r="AR121" s="51"/>
      <c r="AS121" s="51"/>
      <c r="AW121" s="51"/>
      <c r="AX121" s="51"/>
      <c r="AY121" s="51"/>
      <c r="AZ121" s="51"/>
      <c r="BA121" s="51"/>
      <c r="BB121" s="51"/>
      <c r="BC121" s="51"/>
      <c r="BD121" s="51"/>
      <c r="BE121" s="51"/>
      <c r="BF121" s="51"/>
      <c r="BG121" s="51"/>
      <c r="BH121" s="51"/>
      <c r="BI121" s="51"/>
      <c r="BJ121" s="51"/>
      <c r="BK121" s="51"/>
      <c r="BL121" s="51"/>
      <c r="BM121" s="51"/>
    </row>
    <row r="122" spans="2:65" ht="15">
      <c r="B122" s="89" t="s">
        <v>400</v>
      </c>
      <c r="C122" s="4"/>
      <c r="D122" s="22"/>
      <c r="E122" s="97" t="s">
        <v>56</v>
      </c>
      <c r="F122" s="92"/>
      <c r="G122" s="202"/>
      <c r="H122" s="92"/>
      <c r="I122" s="25"/>
      <c r="J122" s="25"/>
      <c r="K122" s="25"/>
      <c r="L122" s="26"/>
      <c r="AC122" s="51"/>
      <c r="AD122" s="51"/>
      <c r="AE122" s="51"/>
      <c r="AF122" s="51"/>
      <c r="AG122" s="51"/>
      <c r="AH122" s="51"/>
      <c r="AI122" s="51"/>
      <c r="AJ122" s="51"/>
      <c r="AK122" s="51"/>
      <c r="AL122" s="51"/>
      <c r="AM122" s="51"/>
      <c r="AN122" s="51"/>
      <c r="AO122" s="51"/>
      <c r="AP122" s="51"/>
      <c r="AQ122" s="51"/>
      <c r="AR122" s="51"/>
      <c r="AS122" s="51"/>
      <c r="AW122" s="51"/>
      <c r="AX122" s="51"/>
      <c r="AY122" s="51"/>
      <c r="AZ122" s="51"/>
      <c r="BA122" s="51"/>
      <c r="BB122" s="51"/>
      <c r="BC122" s="51"/>
      <c r="BD122" s="51"/>
      <c r="BE122" s="51"/>
      <c r="BF122" s="51"/>
      <c r="BG122" s="51"/>
      <c r="BH122" s="51"/>
      <c r="BI122" s="51"/>
      <c r="BJ122" s="51"/>
      <c r="BK122" s="51"/>
      <c r="BL122" s="51"/>
      <c r="BM122" s="51"/>
    </row>
    <row r="123" spans="2:65" ht="15">
      <c r="B123" s="83" t="s">
        <v>384</v>
      </c>
      <c r="C123" s="73"/>
      <c r="D123" s="85"/>
      <c r="E123" s="84" t="s">
        <v>57</v>
      </c>
      <c r="F123" s="93"/>
      <c r="G123" s="94"/>
      <c r="H123" s="92"/>
      <c r="L123" s="26"/>
      <c r="AC123" s="51"/>
      <c r="AD123" s="51"/>
      <c r="AE123" s="51"/>
      <c r="AF123" s="51"/>
      <c r="AG123" s="51"/>
      <c r="AH123" s="51"/>
      <c r="AI123" s="51"/>
      <c r="AJ123" s="51"/>
      <c r="AK123" s="51"/>
      <c r="AL123" s="51"/>
      <c r="AM123" s="51"/>
      <c r="AN123" s="51"/>
      <c r="AO123" s="51"/>
      <c r="AP123" s="51"/>
      <c r="AQ123" s="51"/>
      <c r="AR123" s="51"/>
      <c r="AS123" s="51"/>
      <c r="AW123" s="51"/>
      <c r="AX123" s="51"/>
      <c r="AY123" s="51"/>
      <c r="AZ123" s="51"/>
      <c r="BA123" s="51"/>
      <c r="BB123" s="51"/>
      <c r="BC123" s="51"/>
      <c r="BD123" s="51"/>
      <c r="BE123" s="51"/>
      <c r="BF123" s="51"/>
      <c r="BG123" s="51"/>
      <c r="BH123" s="51"/>
      <c r="BI123" s="51"/>
      <c r="BJ123" s="51"/>
      <c r="BK123" s="51"/>
      <c r="BL123" s="51"/>
      <c r="BM123" s="51"/>
    </row>
    <row r="124" spans="2:65" ht="19.5">
      <c r="B124" s="12" t="s">
        <v>63</v>
      </c>
      <c r="D124" s="108">
        <f>-FxFax</f>
        <v>-14.469999999999999</v>
      </c>
      <c r="E124" s="86" t="s">
        <v>65</v>
      </c>
      <c r="F124" s="56"/>
      <c r="G124" s="108">
        <f>0</f>
        <v>0</v>
      </c>
      <c r="H124" s="119"/>
      <c r="L124" s="26"/>
      <c r="AC124" s="51"/>
      <c r="AD124" s="51"/>
      <c r="AE124" s="51"/>
      <c r="AF124" s="51"/>
      <c r="AG124" s="51"/>
      <c r="AH124" s="51"/>
      <c r="AI124" s="51"/>
      <c r="AJ124" s="51"/>
      <c r="AK124" s="51"/>
      <c r="AL124" s="51"/>
      <c r="AM124" s="51"/>
      <c r="AN124" s="51"/>
      <c r="AO124" s="51"/>
      <c r="AP124" s="51"/>
      <c r="AQ124" s="51"/>
      <c r="AR124" s="51"/>
      <c r="AS124" s="51"/>
      <c r="AW124" s="51"/>
      <c r="AX124" s="51"/>
      <c r="AY124" s="51"/>
      <c r="AZ124" s="51"/>
      <c r="BA124" s="51"/>
      <c r="BB124" s="51"/>
      <c r="BC124" s="51"/>
      <c r="BD124" s="51"/>
      <c r="BE124" s="51"/>
      <c r="BF124" s="51"/>
      <c r="BG124" s="51"/>
      <c r="BH124" s="51"/>
      <c r="BI124" s="51"/>
      <c r="BJ124" s="51"/>
      <c r="BK124" s="51"/>
      <c r="BL124" s="51"/>
      <c r="BM124" s="51"/>
    </row>
    <row r="125" spans="2:65" ht="19.5">
      <c r="B125" s="12" t="s">
        <v>95</v>
      </c>
      <c r="D125" s="108">
        <f>FyFax</f>
        <v>0</v>
      </c>
      <c r="E125" s="86" t="s">
        <v>66</v>
      </c>
      <c r="F125" s="56"/>
      <c r="G125" s="108">
        <f>0</f>
        <v>0</v>
      </c>
      <c r="H125" s="119"/>
      <c r="L125" s="26"/>
      <c r="AC125" s="51"/>
      <c r="AD125" s="51"/>
      <c r="AE125" s="51"/>
      <c r="AF125" s="51"/>
      <c r="AG125" s="51"/>
      <c r="AH125" s="51"/>
      <c r="AI125" s="51"/>
      <c r="AJ125" s="51"/>
      <c r="AK125" s="51"/>
      <c r="AL125" s="51"/>
      <c r="AM125" s="51"/>
      <c r="AN125" s="51"/>
      <c r="AO125" s="51"/>
      <c r="AP125" s="51"/>
      <c r="AQ125" s="51"/>
      <c r="AR125" s="51"/>
      <c r="AS125" s="51"/>
      <c r="AW125" s="51"/>
      <c r="AX125" s="51"/>
      <c r="AY125" s="51"/>
      <c r="AZ125" s="51"/>
      <c r="BA125" s="51"/>
      <c r="BB125" s="51"/>
      <c r="BC125" s="51"/>
      <c r="BD125" s="51"/>
      <c r="BE125" s="51"/>
      <c r="BF125" s="51"/>
      <c r="BG125" s="51"/>
      <c r="BH125" s="51"/>
      <c r="BI125" s="51"/>
      <c r="BJ125" s="51"/>
      <c r="BK125" s="51"/>
      <c r="BL125" s="51"/>
      <c r="BM125" s="51"/>
    </row>
    <row r="126" spans="2:65" ht="19.5">
      <c r="B126" s="12" t="s">
        <v>64</v>
      </c>
      <c r="D126" s="108">
        <f>Fzgravity+FzFax</f>
        <v>11.547059999999998</v>
      </c>
      <c r="E126" s="86" t="s">
        <v>67</v>
      </c>
      <c r="F126" s="56"/>
      <c r="G126" s="108">
        <f>Fzgravity-FzFax</f>
        <v>2.9229399999999996</v>
      </c>
      <c r="H126" s="119"/>
      <c r="L126" s="26"/>
      <c r="AC126" s="51"/>
      <c r="AD126" s="51"/>
      <c r="AE126" s="51"/>
      <c r="AF126" s="51"/>
      <c r="AG126" s="51"/>
      <c r="AH126" s="51"/>
      <c r="AI126" s="51"/>
      <c r="AJ126" s="51"/>
      <c r="AK126" s="51"/>
      <c r="AL126" s="51"/>
      <c r="AM126" s="51"/>
      <c r="AN126" s="51"/>
      <c r="AO126" s="51"/>
      <c r="AP126" s="51"/>
      <c r="AQ126" s="51"/>
      <c r="AR126" s="51"/>
      <c r="AS126" s="51"/>
      <c r="AW126" s="51"/>
      <c r="AX126" s="51"/>
      <c r="AY126" s="51"/>
      <c r="AZ126" s="51"/>
      <c r="BA126" s="51"/>
      <c r="BB126" s="51"/>
      <c r="BC126" s="51"/>
      <c r="BD126" s="51"/>
      <c r="BE126" s="51"/>
      <c r="BF126" s="51"/>
      <c r="BG126" s="51"/>
      <c r="BH126" s="51"/>
      <c r="BI126" s="51"/>
      <c r="BJ126" s="51"/>
      <c r="BK126" s="51"/>
      <c r="BL126" s="51"/>
      <c r="BM126" s="51"/>
    </row>
    <row r="127" spans="2:65" ht="15">
      <c r="B127" s="83" t="s">
        <v>385</v>
      </c>
      <c r="C127" s="73"/>
      <c r="D127" s="110"/>
      <c r="E127" s="84" t="s">
        <v>58</v>
      </c>
      <c r="F127" s="93"/>
      <c r="G127" s="110"/>
      <c r="H127" s="120"/>
      <c r="I127" s="14"/>
      <c r="J127" s="14"/>
      <c r="K127" s="14"/>
      <c r="L127" s="26"/>
    </row>
    <row r="128" spans="2:65" ht="19.5">
      <c r="B128" s="12" t="s">
        <v>68</v>
      </c>
      <c r="C128" s="95"/>
      <c r="D128" s="108">
        <f>-FxFax</f>
        <v>-14.469999999999999</v>
      </c>
      <c r="E128" s="86" t="s">
        <v>70</v>
      </c>
      <c r="F128" s="56"/>
      <c r="G128" s="108">
        <f>0</f>
        <v>0</v>
      </c>
      <c r="H128" s="119"/>
      <c r="I128" s="14"/>
      <c r="J128" s="14"/>
      <c r="K128" s="14"/>
      <c r="L128" s="26"/>
    </row>
    <row r="129" spans="2:65" ht="19.5">
      <c r="B129" s="12" t="s">
        <v>98</v>
      </c>
      <c r="C129" s="95"/>
      <c r="D129" s="108">
        <f>FyFax</f>
        <v>0</v>
      </c>
      <c r="E129" s="86" t="s">
        <v>71</v>
      </c>
      <c r="F129" s="56"/>
      <c r="G129" s="108">
        <f>0</f>
        <v>0</v>
      </c>
      <c r="H129" s="119"/>
      <c r="I129" s="14"/>
      <c r="J129" s="14"/>
      <c r="K129" s="14"/>
      <c r="L129" s="26"/>
    </row>
    <row r="130" spans="2:65" ht="19.5">
      <c r="B130" s="12" t="s">
        <v>69</v>
      </c>
      <c r="C130" s="95"/>
      <c r="D130" s="108">
        <f>Fzgravity+FzFax</f>
        <v>11.547059999999998</v>
      </c>
      <c r="E130" s="86" t="s">
        <v>72</v>
      </c>
      <c r="F130" s="56"/>
      <c r="G130" s="108">
        <f>Fzgravity-FzFax</f>
        <v>2.9229399999999996</v>
      </c>
      <c r="H130" s="119"/>
      <c r="I130" s="14"/>
      <c r="J130" s="14"/>
      <c r="K130" s="14"/>
      <c r="L130" s="26"/>
    </row>
    <row r="131" spans="2:65" ht="15">
      <c r="B131" s="12"/>
      <c r="D131" s="104"/>
      <c r="E131" s="87"/>
      <c r="G131" s="104"/>
      <c r="H131" s="104"/>
      <c r="I131" s="14"/>
      <c r="J131" s="14"/>
      <c r="K131" s="14"/>
      <c r="L131" s="26"/>
    </row>
    <row r="132" spans="2:65" ht="15.75">
      <c r="B132" s="197" t="s">
        <v>284</v>
      </c>
      <c r="C132" s="195"/>
      <c r="D132" s="198"/>
      <c r="E132" s="199"/>
      <c r="F132" s="200"/>
      <c r="G132" s="201"/>
      <c r="H132" s="90"/>
      <c r="I132" s="96"/>
      <c r="J132" s="14"/>
      <c r="K132" s="25"/>
      <c r="L132" s="26"/>
    </row>
    <row r="133" spans="2:65" ht="15">
      <c r="B133" s="89" t="s">
        <v>400</v>
      </c>
      <c r="C133" s="4"/>
      <c r="D133" s="22"/>
      <c r="E133" s="97" t="s">
        <v>56</v>
      </c>
      <c r="F133" s="92"/>
      <c r="G133" s="202"/>
      <c r="H133" s="92"/>
      <c r="I133" s="96"/>
      <c r="J133" s="14"/>
      <c r="K133" s="25"/>
      <c r="L133" s="26"/>
      <c r="AB133"/>
      <c r="AS133" s="51"/>
      <c r="AV133"/>
      <c r="BM133" s="51"/>
    </row>
    <row r="134" spans="2:65" ht="15">
      <c r="B134" s="83" t="s">
        <v>384</v>
      </c>
      <c r="C134" s="73"/>
      <c r="D134" s="85"/>
      <c r="E134" s="84" t="s">
        <v>57</v>
      </c>
      <c r="F134" s="93"/>
      <c r="G134" s="94"/>
      <c r="H134" s="92"/>
      <c r="I134" s="96"/>
      <c r="J134" s="14"/>
      <c r="K134" s="25"/>
      <c r="L134" s="26"/>
      <c r="AB134"/>
      <c r="AS134" s="51"/>
      <c r="AV134"/>
      <c r="BM134" s="51"/>
    </row>
    <row r="135" spans="2:65" ht="19.5">
      <c r="B135" s="12" t="s">
        <v>73</v>
      </c>
      <c r="D135" s="108">
        <f>FxFax</f>
        <v>14.469999999999999</v>
      </c>
      <c r="E135" s="86" t="s">
        <v>65</v>
      </c>
      <c r="F135" s="56"/>
      <c r="G135" s="108">
        <f>0</f>
        <v>0</v>
      </c>
      <c r="H135" s="119"/>
      <c r="I135" s="25"/>
      <c r="J135" s="25"/>
      <c r="K135" s="25"/>
      <c r="L135" s="26"/>
      <c r="AB135"/>
      <c r="AS135" s="51"/>
      <c r="AV135"/>
      <c r="BM135" s="51"/>
    </row>
    <row r="136" spans="2:65" ht="19.5">
      <c r="B136" s="12" t="s">
        <v>95</v>
      </c>
      <c r="D136" s="108">
        <f>FyFax</f>
        <v>0</v>
      </c>
      <c r="E136" s="86" t="s">
        <v>66</v>
      </c>
      <c r="F136" s="56"/>
      <c r="G136" s="108">
        <f>0</f>
        <v>0</v>
      </c>
      <c r="H136" s="119"/>
      <c r="K136" s="25"/>
      <c r="L136" s="26"/>
    </row>
    <row r="137" spans="2:65" ht="19.5">
      <c r="B137" s="12" t="s">
        <v>74</v>
      </c>
      <c r="D137" s="108">
        <f>Fzgravity-FzFax</f>
        <v>2.9229399999999996</v>
      </c>
      <c r="E137" s="86" t="s">
        <v>75</v>
      </c>
      <c r="F137" s="56"/>
      <c r="G137" s="108">
        <f>Fzgravity+FzFax</f>
        <v>11.547059999999998</v>
      </c>
      <c r="H137" s="119"/>
      <c r="K137" s="25"/>
      <c r="L137" s="26"/>
    </row>
    <row r="138" spans="2:65" ht="15">
      <c r="B138" s="83" t="s">
        <v>385</v>
      </c>
      <c r="C138" s="73"/>
      <c r="D138" s="110"/>
      <c r="E138" s="84" t="s">
        <v>58</v>
      </c>
      <c r="F138" s="93"/>
      <c r="G138" s="110"/>
      <c r="H138" s="120"/>
      <c r="K138" s="25"/>
      <c r="L138" s="26"/>
    </row>
    <row r="139" spans="2:65" ht="19.5">
      <c r="B139" s="12" t="s">
        <v>76</v>
      </c>
      <c r="C139" s="95"/>
      <c r="D139" s="108">
        <f>FxFax</f>
        <v>14.469999999999999</v>
      </c>
      <c r="E139" s="86" t="s">
        <v>70</v>
      </c>
      <c r="F139" s="56"/>
      <c r="G139" s="108">
        <f>0</f>
        <v>0</v>
      </c>
      <c r="H139" s="119"/>
      <c r="K139" s="25"/>
      <c r="L139" s="26"/>
    </row>
    <row r="140" spans="2:65" ht="19.5">
      <c r="B140" s="12" t="s">
        <v>99</v>
      </c>
      <c r="C140" s="95"/>
      <c r="D140" s="108">
        <f>FyFax</f>
        <v>0</v>
      </c>
      <c r="E140" s="86" t="s">
        <v>71</v>
      </c>
      <c r="F140" s="56"/>
      <c r="G140" s="108">
        <f>0</f>
        <v>0</v>
      </c>
      <c r="H140" s="119"/>
      <c r="J140" s="25"/>
      <c r="K140" s="25"/>
      <c r="L140" s="26"/>
    </row>
    <row r="141" spans="2:65" ht="19.5">
      <c r="B141" s="12" t="s">
        <v>77</v>
      </c>
      <c r="C141" s="95"/>
      <c r="D141" s="108">
        <f>Fzgravity-FzFax</f>
        <v>2.9229399999999996</v>
      </c>
      <c r="E141" s="86" t="s">
        <v>78</v>
      </c>
      <c r="F141" s="56"/>
      <c r="G141" s="108">
        <f>Fzgravity+FzFax</f>
        <v>11.547059999999998</v>
      </c>
      <c r="H141" s="119"/>
      <c r="I141" s="76"/>
      <c r="J141" s="25"/>
      <c r="K141" s="25"/>
      <c r="L141" s="26"/>
    </row>
    <row r="142" spans="2:65" ht="15">
      <c r="B142" s="12"/>
      <c r="C142" s="95"/>
      <c r="D142" s="14"/>
      <c r="E142" s="87"/>
      <c r="F142" s="56"/>
      <c r="G142" s="14"/>
      <c r="H142" s="14"/>
      <c r="I142" s="76"/>
      <c r="J142" s="25"/>
      <c r="K142" s="25"/>
      <c r="L142" s="26"/>
    </row>
    <row r="143" spans="2:65" ht="18.75">
      <c r="B143" s="341" t="s">
        <v>406</v>
      </c>
      <c r="C143" s="342"/>
      <c r="D143" s="342"/>
      <c r="E143" s="342"/>
      <c r="F143" s="342"/>
      <c r="G143" s="342"/>
      <c r="H143" s="342"/>
      <c r="I143" s="342"/>
      <c r="J143" s="342"/>
      <c r="K143" s="342"/>
      <c r="L143" s="343"/>
    </row>
    <row r="144" spans="2:65" ht="15.75">
      <c r="B144" s="12"/>
      <c r="C144" s="4"/>
      <c r="D144" s="22"/>
      <c r="E144" s="7"/>
      <c r="F144" s="28"/>
      <c r="G144" s="24"/>
      <c r="H144" s="24"/>
      <c r="I144" s="76"/>
      <c r="J144" s="25"/>
      <c r="K144" s="25"/>
      <c r="L144" s="26"/>
      <c r="AC144" s="51"/>
      <c r="AD144" s="51"/>
      <c r="AE144" s="51"/>
      <c r="AF144" s="51"/>
      <c r="AG144" s="51"/>
      <c r="AH144" s="51"/>
      <c r="AI144" s="51"/>
      <c r="AJ144" s="51"/>
      <c r="AK144" s="51"/>
      <c r="AL144" s="51"/>
      <c r="AM144" s="51"/>
      <c r="AN144" s="51"/>
      <c r="AO144" s="51"/>
      <c r="AP144" s="51"/>
      <c r="AQ144" s="51"/>
      <c r="AR144" s="51"/>
      <c r="AS144" s="51"/>
      <c r="AW144" s="51"/>
      <c r="AX144" s="51"/>
      <c r="AY144" s="51"/>
      <c r="AZ144" s="51"/>
      <c r="BA144" s="51"/>
      <c r="BB144" s="51"/>
      <c r="BC144" s="51"/>
      <c r="BD144" s="51"/>
      <c r="BE144" s="51"/>
      <c r="BF144" s="51"/>
      <c r="BG144" s="51"/>
      <c r="BH144" s="51"/>
      <c r="BI144" s="51"/>
      <c r="BJ144" s="51"/>
      <c r="BK144" s="51"/>
      <c r="BL144" s="51"/>
      <c r="BM144" s="51"/>
    </row>
    <row r="145" spans="2:65" ht="19.5">
      <c r="B145" s="12" t="s">
        <v>203</v>
      </c>
      <c r="C145" s="4"/>
      <c r="D145" s="22"/>
      <c r="E145" s="10" t="s">
        <v>130</v>
      </c>
      <c r="F145" s="17">
        <f>QTot.One.Flight.ALS*(ad/gv)</f>
        <v>28.939999999999998</v>
      </c>
      <c r="G145" s="24"/>
      <c r="I145" s="76"/>
      <c r="J145" s="25"/>
      <c r="K145" s="25"/>
      <c r="L145" s="26"/>
      <c r="AC145" s="51"/>
      <c r="AD145" s="51"/>
      <c r="AE145" s="51"/>
      <c r="AF145" s="51"/>
      <c r="AG145" s="51"/>
      <c r="AH145" s="51"/>
      <c r="AI145" s="51"/>
      <c r="AJ145" s="51"/>
      <c r="AK145" s="51"/>
      <c r="AL145" s="51"/>
      <c r="AM145" s="51"/>
      <c r="AN145" s="51"/>
      <c r="AO145" s="51"/>
      <c r="AP145" s="51"/>
      <c r="AQ145" s="51"/>
      <c r="AR145" s="51"/>
      <c r="AS145" s="51"/>
      <c r="AW145" s="51"/>
      <c r="AX145" s="51"/>
      <c r="AY145" s="51"/>
      <c r="AZ145" s="51"/>
      <c r="BA145" s="51"/>
      <c r="BB145" s="51"/>
      <c r="BC145" s="51"/>
      <c r="BD145" s="51"/>
      <c r="BE145" s="51"/>
      <c r="BF145" s="51"/>
      <c r="BG145" s="51"/>
      <c r="BH145" s="51"/>
      <c r="BI145" s="51"/>
      <c r="BJ145" s="51"/>
      <c r="BK145" s="51"/>
      <c r="BL145" s="51"/>
      <c r="BM145" s="51"/>
    </row>
    <row r="146" spans="2:65" ht="15.75">
      <c r="B146" s="12"/>
      <c r="C146" s="4"/>
      <c r="D146" s="22"/>
      <c r="E146" s="7"/>
      <c r="F146" s="28"/>
      <c r="G146" s="24"/>
      <c r="H146" s="24"/>
      <c r="I146" s="76"/>
      <c r="J146" s="25"/>
      <c r="K146" s="25"/>
      <c r="L146" s="26"/>
      <c r="AC146" s="51"/>
      <c r="AD146" s="51"/>
      <c r="AE146" s="51"/>
      <c r="AF146" s="51"/>
      <c r="AG146" s="51"/>
      <c r="AH146" s="51"/>
      <c r="AI146" s="51"/>
      <c r="AJ146" s="51"/>
      <c r="AK146" s="51"/>
      <c r="AL146" s="51"/>
      <c r="AM146" s="51"/>
      <c r="AN146" s="51"/>
      <c r="AO146" s="51"/>
      <c r="AP146" s="51"/>
      <c r="AQ146" s="51"/>
      <c r="AR146" s="51"/>
      <c r="AS146" s="51"/>
      <c r="AW146" s="51"/>
      <c r="AX146" s="51"/>
      <c r="AY146" s="51"/>
      <c r="AZ146" s="51"/>
      <c r="BA146" s="51"/>
      <c r="BB146" s="51"/>
      <c r="BC146" s="51"/>
      <c r="BD146" s="51"/>
      <c r="BE146" s="51"/>
      <c r="BF146" s="51"/>
      <c r="BG146" s="51"/>
      <c r="BH146" s="51"/>
      <c r="BI146" s="51"/>
      <c r="BJ146" s="51"/>
      <c r="BK146" s="51"/>
      <c r="BL146" s="51"/>
      <c r="BM146" s="51"/>
    </row>
    <row r="147" spans="2:65" ht="19.5">
      <c r="B147" s="12" t="s">
        <v>397</v>
      </c>
      <c r="C147" s="69"/>
      <c r="D147" s="22"/>
      <c r="E147" s="23" t="s">
        <v>100</v>
      </c>
      <c r="F147" s="17">
        <f>0.5*Ce/Def*Fay</f>
        <v>47.598684210526308</v>
      </c>
      <c r="G147" s="24"/>
      <c r="H147" s="24"/>
      <c r="I147" s="76"/>
      <c r="J147" s="25"/>
      <c r="K147" s="25"/>
      <c r="L147" s="26"/>
      <c r="AC147" s="51"/>
      <c r="AD147" s="51"/>
      <c r="AE147" s="51"/>
      <c r="AF147" s="51"/>
      <c r="AG147" s="51"/>
      <c r="AH147" s="51"/>
      <c r="AI147" s="51"/>
      <c r="AJ147" s="51"/>
      <c r="AK147" s="51"/>
      <c r="AL147" s="51"/>
      <c r="AM147" s="51"/>
      <c r="AN147" s="51"/>
      <c r="AO147" s="51"/>
      <c r="AP147" s="51"/>
      <c r="AQ147" s="51"/>
      <c r="AR147" s="51"/>
      <c r="AS147" s="51"/>
      <c r="AW147" s="51"/>
      <c r="AX147" s="51"/>
      <c r="AY147" s="51"/>
      <c r="AZ147" s="51"/>
      <c r="BA147" s="51"/>
      <c r="BB147" s="51"/>
      <c r="BC147" s="51"/>
      <c r="BD147" s="51"/>
      <c r="BE147" s="51"/>
      <c r="BF147" s="51"/>
      <c r="BG147" s="51"/>
      <c r="BH147" s="51"/>
      <c r="BI147" s="51"/>
      <c r="BJ147" s="51"/>
      <c r="BK147" s="51"/>
      <c r="BL147" s="51"/>
      <c r="BM147" s="51"/>
    </row>
    <row r="148" spans="2:65" ht="19.5">
      <c r="B148" s="12" t="s">
        <v>398</v>
      </c>
      <c r="C148" s="69"/>
      <c r="D148" s="22"/>
      <c r="E148" s="23" t="s">
        <v>101</v>
      </c>
      <c r="F148" s="17">
        <f>0.5*Fay</f>
        <v>14.469999999999999</v>
      </c>
      <c r="G148" s="24"/>
      <c r="H148" s="24"/>
      <c r="I148" s="76"/>
      <c r="J148" s="25"/>
      <c r="K148" s="25"/>
      <c r="L148" s="26"/>
      <c r="AC148" s="51"/>
      <c r="AD148" s="51"/>
      <c r="AE148" s="51"/>
      <c r="AF148" s="51"/>
      <c r="AG148" s="51"/>
      <c r="AH148" s="51"/>
      <c r="AI148" s="51"/>
      <c r="AJ148" s="51"/>
      <c r="AK148" s="51"/>
      <c r="AL148" s="51"/>
      <c r="AM148" s="51"/>
      <c r="AN148" s="51"/>
      <c r="AO148" s="51"/>
      <c r="AP148" s="51"/>
      <c r="AQ148" s="51"/>
      <c r="AR148" s="51"/>
      <c r="AS148" s="51"/>
      <c r="AW148" s="51"/>
      <c r="AX148" s="51"/>
      <c r="AY148" s="51"/>
      <c r="AZ148" s="51"/>
      <c r="BA148" s="51"/>
      <c r="BB148" s="51"/>
      <c r="BC148" s="51"/>
      <c r="BD148" s="51"/>
      <c r="BE148" s="51"/>
      <c r="BF148" s="51"/>
      <c r="BG148" s="51"/>
      <c r="BH148" s="51"/>
      <c r="BI148" s="51"/>
      <c r="BJ148" s="51"/>
      <c r="BK148" s="51"/>
      <c r="BL148" s="51"/>
      <c r="BM148" s="51"/>
    </row>
    <row r="149" spans="2:65" ht="19.5">
      <c r="B149" s="12" t="s">
        <v>399</v>
      </c>
      <c r="C149" s="69"/>
      <c r="D149" s="22"/>
      <c r="E149" s="23" t="s">
        <v>102</v>
      </c>
      <c r="F149" s="17">
        <f>Fay*(Htot/2)/Def</f>
        <v>28.368815789473683</v>
      </c>
      <c r="G149" s="90"/>
      <c r="H149" s="148"/>
      <c r="I149" s="281"/>
      <c r="J149" s="280"/>
      <c r="K149" s="25"/>
      <c r="L149" s="26"/>
      <c r="AC149" s="51"/>
      <c r="AD149" s="51"/>
      <c r="AE149" s="51"/>
      <c r="AF149" s="51"/>
      <c r="AG149" s="51"/>
      <c r="AH149" s="51"/>
      <c r="AI149" s="51"/>
      <c r="AJ149" s="51"/>
      <c r="AK149" s="51"/>
      <c r="AL149" s="51"/>
      <c r="AM149" s="51"/>
      <c r="AN149" s="51"/>
      <c r="AO149" s="51"/>
      <c r="AP149" s="51"/>
      <c r="AQ149" s="51"/>
      <c r="AR149" s="51"/>
      <c r="AS149" s="51"/>
      <c r="AW149" s="51"/>
      <c r="AX149" s="51"/>
      <c r="AY149" s="51"/>
      <c r="AZ149" s="51"/>
      <c r="BA149" s="51"/>
      <c r="BB149" s="51"/>
      <c r="BC149" s="51"/>
      <c r="BD149" s="51"/>
      <c r="BE149" s="51"/>
      <c r="BF149" s="51"/>
      <c r="BG149" s="51"/>
      <c r="BH149" s="51"/>
      <c r="BI149" s="51"/>
      <c r="BJ149" s="51"/>
      <c r="BK149" s="51"/>
      <c r="BL149" s="51"/>
      <c r="BM149" s="51"/>
    </row>
    <row r="150" spans="2:65" ht="19.5">
      <c r="B150" s="12" t="s">
        <v>396</v>
      </c>
      <c r="C150" s="4"/>
      <c r="D150" s="22"/>
      <c r="E150" s="23" t="s">
        <v>129</v>
      </c>
      <c r="F150" s="17">
        <f>QTot.One.Flight.ALS/4</f>
        <v>7.2349999999999994</v>
      </c>
      <c r="G150" s="24"/>
      <c r="H150" s="148"/>
      <c r="I150" s="281"/>
      <c r="J150" s="280"/>
      <c r="K150" s="25"/>
      <c r="L150" s="26"/>
      <c r="AC150" s="51"/>
      <c r="AD150" s="51"/>
      <c r="AE150" s="51"/>
      <c r="AF150" s="51"/>
      <c r="AG150" s="51"/>
      <c r="AH150" s="51"/>
      <c r="AI150" s="51"/>
      <c r="AJ150" s="51"/>
      <c r="AK150" s="51"/>
      <c r="AL150" s="51"/>
      <c r="AM150" s="51"/>
      <c r="AN150" s="51"/>
      <c r="AO150" s="51"/>
      <c r="AP150" s="51"/>
      <c r="AQ150" s="51"/>
      <c r="AR150" s="51"/>
      <c r="AS150" s="51"/>
      <c r="AW150" s="51"/>
      <c r="AX150" s="51"/>
      <c r="AY150" s="51"/>
      <c r="AZ150" s="51"/>
      <c r="BA150" s="51"/>
      <c r="BB150" s="51"/>
      <c r="BC150" s="51"/>
      <c r="BD150" s="51"/>
      <c r="BE150" s="51"/>
      <c r="BF150" s="51"/>
      <c r="BG150" s="51"/>
      <c r="BH150" s="51"/>
      <c r="BI150" s="51"/>
      <c r="BJ150" s="51"/>
      <c r="BK150" s="51"/>
      <c r="BL150" s="51"/>
      <c r="BM150" s="51"/>
    </row>
    <row r="151" spans="2:65" ht="19.5">
      <c r="B151" s="12" t="s">
        <v>389</v>
      </c>
      <c r="C151" s="4"/>
      <c r="D151" s="22"/>
      <c r="E151" s="23"/>
      <c r="F151" s="17"/>
      <c r="G151" s="24"/>
      <c r="H151" s="24"/>
      <c r="I151" s="76"/>
      <c r="J151" s="25"/>
      <c r="K151" s="25"/>
      <c r="L151" s="26"/>
      <c r="AC151" s="51"/>
      <c r="AD151" s="51"/>
      <c r="AE151" s="51"/>
      <c r="AF151" s="51"/>
      <c r="AG151" s="51"/>
      <c r="AH151" s="51"/>
      <c r="AI151" s="51"/>
      <c r="AJ151" s="51"/>
      <c r="AK151" s="51"/>
      <c r="AL151" s="51"/>
      <c r="AM151" s="51"/>
      <c r="AN151" s="51"/>
      <c r="AO151" s="51"/>
      <c r="AP151" s="51"/>
      <c r="AQ151" s="51"/>
      <c r="AR151" s="51"/>
      <c r="AS151" s="51"/>
      <c r="AW151" s="51"/>
      <c r="AX151" s="51"/>
      <c r="AY151" s="51"/>
      <c r="AZ151" s="51"/>
      <c r="BA151" s="51"/>
      <c r="BB151" s="51"/>
      <c r="BC151" s="51"/>
      <c r="BD151" s="51"/>
      <c r="BE151" s="51"/>
      <c r="BF151" s="51"/>
      <c r="BG151" s="51"/>
      <c r="BH151" s="51"/>
      <c r="BI151" s="51"/>
      <c r="BJ151" s="51"/>
      <c r="BK151" s="51"/>
      <c r="BL151" s="51"/>
      <c r="BM151" s="51"/>
    </row>
    <row r="152" spans="2:65" ht="15.75">
      <c r="B152" s="12"/>
      <c r="C152" s="4"/>
      <c r="D152" s="22"/>
      <c r="E152" s="29"/>
      <c r="F152" s="28"/>
      <c r="G152" s="24"/>
      <c r="H152" s="24"/>
      <c r="I152" s="76"/>
      <c r="J152" s="25"/>
      <c r="K152" s="25"/>
      <c r="L152" s="26"/>
      <c r="AC152" s="51"/>
      <c r="AD152" s="51"/>
      <c r="AE152" s="51"/>
      <c r="AF152" s="51"/>
      <c r="AG152" s="51"/>
      <c r="AH152" s="51"/>
      <c r="AI152" s="51"/>
      <c r="AJ152" s="51"/>
      <c r="AK152" s="51"/>
      <c r="AL152" s="51"/>
      <c r="AM152" s="51"/>
      <c r="AN152" s="51"/>
      <c r="AO152" s="51"/>
      <c r="AP152" s="51"/>
      <c r="AQ152" s="51"/>
      <c r="AR152" s="51"/>
      <c r="AS152" s="51"/>
      <c r="AW152" s="51"/>
      <c r="AX152" s="51"/>
      <c r="AY152" s="51"/>
      <c r="AZ152" s="51"/>
      <c r="BA152" s="51"/>
      <c r="BB152" s="51"/>
      <c r="BC152" s="51"/>
      <c r="BD152" s="51"/>
      <c r="BE152" s="51"/>
      <c r="BF152" s="51"/>
      <c r="BG152" s="51"/>
      <c r="BH152" s="51"/>
      <c r="BI152" s="51"/>
      <c r="BJ152" s="51"/>
      <c r="BK152" s="51"/>
      <c r="BL152" s="51"/>
      <c r="BM152" s="51"/>
    </row>
    <row r="153" spans="2:65" ht="15.75">
      <c r="B153" s="99" t="str">
        <f>IF(FzFay&gt;Fzgravity,"NOTE: Calculations implies UPLIFT forces in the reinforced joints between the flight and the landing.","")</f>
        <v>NOTE: Calculations implies UPLIFT forces in the reinforced joints between the flight and the landing.</v>
      </c>
      <c r="C153" s="4"/>
      <c r="D153" s="22"/>
      <c r="E153" s="29"/>
      <c r="F153" s="28"/>
      <c r="G153" s="24"/>
      <c r="H153" s="24"/>
      <c r="I153" s="76"/>
      <c r="J153" s="25"/>
      <c r="K153" s="25"/>
      <c r="L153" s="26"/>
      <c r="AC153" s="51"/>
      <c r="AD153" s="51"/>
      <c r="AE153" s="51"/>
      <c r="AF153" s="51"/>
      <c r="AG153" s="51"/>
      <c r="AH153" s="51"/>
      <c r="AI153" s="51"/>
      <c r="AJ153" s="51"/>
      <c r="AK153" s="51"/>
      <c r="AL153" s="51"/>
      <c r="AM153" s="51"/>
      <c r="AN153" s="51"/>
      <c r="AO153" s="51"/>
      <c r="AP153" s="51"/>
      <c r="AQ153" s="51"/>
      <c r="AR153" s="51"/>
      <c r="AS153" s="51"/>
      <c r="AW153" s="51"/>
      <c r="AX153" s="51"/>
      <c r="AY153" s="51"/>
      <c r="AZ153" s="51"/>
      <c r="BA153" s="51"/>
      <c r="BB153" s="51"/>
      <c r="BC153" s="51"/>
      <c r="BD153" s="51"/>
      <c r="BE153" s="51"/>
      <c r="BF153" s="51"/>
      <c r="BG153" s="51"/>
      <c r="BH153" s="51"/>
      <c r="BI153" s="51"/>
      <c r="BJ153" s="51"/>
      <c r="BK153" s="51"/>
      <c r="BL153" s="51"/>
      <c r="BM153" s="51"/>
    </row>
    <row r="154" spans="2:65" ht="15.75">
      <c r="B154" s="12"/>
      <c r="C154" s="4"/>
      <c r="D154" s="22"/>
      <c r="E154" s="29"/>
      <c r="F154" s="28"/>
      <c r="G154" s="24"/>
      <c r="H154" s="24"/>
      <c r="I154" s="76"/>
      <c r="J154" s="25"/>
      <c r="K154" s="25"/>
      <c r="L154" s="26"/>
      <c r="AC154" s="51"/>
      <c r="AD154" s="51"/>
      <c r="AE154" s="51"/>
      <c r="AF154" s="51"/>
      <c r="AG154" s="51"/>
      <c r="AH154" s="51"/>
      <c r="AI154" s="51"/>
      <c r="AJ154" s="51"/>
      <c r="AK154" s="51"/>
      <c r="AL154" s="51"/>
      <c r="AM154" s="51"/>
      <c r="AN154" s="51"/>
      <c r="AO154" s="51"/>
      <c r="AP154" s="51"/>
      <c r="AQ154" s="51"/>
      <c r="AR154" s="51"/>
      <c r="AS154" s="51"/>
      <c r="AW154" s="51"/>
      <c r="AX154" s="51"/>
      <c r="AY154" s="51"/>
      <c r="AZ154" s="51"/>
      <c r="BA154" s="51"/>
      <c r="BB154" s="51"/>
      <c r="BC154" s="51"/>
      <c r="BD154" s="51"/>
      <c r="BE154" s="51"/>
      <c r="BF154" s="51"/>
      <c r="BG154" s="51"/>
      <c r="BH154" s="51"/>
      <c r="BI154" s="51"/>
      <c r="BJ154" s="51"/>
      <c r="BK154" s="51"/>
      <c r="BL154" s="51"/>
      <c r="BM154" s="51"/>
    </row>
    <row r="155" spans="2:65" ht="15.75">
      <c r="B155" s="197" t="s">
        <v>285</v>
      </c>
      <c r="C155" s="195"/>
      <c r="D155" s="198"/>
      <c r="E155" s="199"/>
      <c r="F155" s="200"/>
      <c r="G155" s="201"/>
      <c r="H155" s="90"/>
      <c r="I155" s="76"/>
      <c r="J155" s="25"/>
      <c r="K155" s="25"/>
      <c r="L155" s="26"/>
      <c r="AC155" s="51"/>
      <c r="AD155" s="51"/>
      <c r="AE155" s="51"/>
      <c r="AF155" s="51"/>
      <c r="AG155" s="51"/>
      <c r="AH155" s="51"/>
      <c r="AI155" s="51"/>
      <c r="AJ155" s="51"/>
      <c r="AK155" s="51"/>
      <c r="AL155" s="51"/>
      <c r="AM155" s="51"/>
      <c r="AN155" s="51"/>
      <c r="AO155" s="51"/>
      <c r="AP155" s="51"/>
      <c r="AQ155" s="51"/>
      <c r="AR155" s="51"/>
      <c r="AS155" s="51"/>
      <c r="AW155" s="51"/>
      <c r="AX155" s="51"/>
      <c r="AY155" s="51"/>
      <c r="AZ155" s="51"/>
      <c r="BA155" s="51"/>
      <c r="BB155" s="51"/>
      <c r="BC155" s="51"/>
      <c r="BD155" s="51"/>
      <c r="BE155" s="51"/>
      <c r="BF155" s="51"/>
      <c r="BG155" s="51"/>
      <c r="BH155" s="51"/>
      <c r="BI155" s="51"/>
      <c r="BJ155" s="51"/>
      <c r="BK155" s="51"/>
      <c r="BL155" s="51"/>
      <c r="BM155" s="51"/>
    </row>
    <row r="156" spans="2:65" ht="15">
      <c r="B156" s="89" t="s">
        <v>400</v>
      </c>
      <c r="C156" s="4"/>
      <c r="D156" s="22"/>
      <c r="E156" s="97" t="s">
        <v>56</v>
      </c>
      <c r="F156" s="92"/>
      <c r="G156" s="100"/>
      <c r="H156" s="92"/>
      <c r="I156" s="76"/>
      <c r="J156" s="25"/>
      <c r="K156" s="25"/>
      <c r="L156" s="26"/>
      <c r="AC156" s="51"/>
      <c r="AD156" s="51"/>
      <c r="AE156" s="51"/>
      <c r="AF156" s="51"/>
      <c r="AG156" s="51"/>
      <c r="AH156" s="51"/>
      <c r="AI156" s="51"/>
      <c r="AJ156" s="51"/>
      <c r="AK156" s="51"/>
      <c r="AL156" s="51"/>
      <c r="AM156" s="51"/>
      <c r="AN156" s="51"/>
      <c r="AO156" s="51"/>
      <c r="AP156" s="51"/>
      <c r="AQ156" s="51"/>
      <c r="AR156" s="51"/>
      <c r="AS156" s="51"/>
      <c r="AW156" s="51"/>
      <c r="AX156" s="51"/>
      <c r="AY156" s="51"/>
      <c r="AZ156" s="51"/>
      <c r="BA156" s="51"/>
      <c r="BB156" s="51"/>
      <c r="BC156" s="51"/>
      <c r="BD156" s="51"/>
      <c r="BE156" s="51"/>
      <c r="BF156" s="51"/>
      <c r="BG156" s="51"/>
      <c r="BH156" s="51"/>
      <c r="BI156" s="51"/>
      <c r="BJ156" s="51"/>
      <c r="BK156" s="51"/>
      <c r="BL156" s="51"/>
      <c r="BM156" s="51"/>
    </row>
    <row r="157" spans="2:65" ht="15">
      <c r="B157" s="83" t="s">
        <v>384</v>
      </c>
      <c r="C157" s="73"/>
      <c r="D157" s="85"/>
      <c r="E157" s="84" t="s">
        <v>57</v>
      </c>
      <c r="F157" s="93"/>
      <c r="G157" s="94"/>
      <c r="H157" s="92"/>
      <c r="I157" s="76"/>
      <c r="J157" s="25"/>
      <c r="K157" s="25"/>
      <c r="L157" s="26"/>
      <c r="AC157" s="51"/>
      <c r="AD157" s="51"/>
      <c r="AE157" s="51"/>
      <c r="AF157" s="51"/>
      <c r="AG157" s="51"/>
      <c r="AH157" s="51"/>
      <c r="AI157" s="51"/>
      <c r="AJ157" s="51"/>
      <c r="AK157" s="51"/>
      <c r="AL157" s="51"/>
      <c r="AM157" s="51"/>
      <c r="AN157" s="51"/>
      <c r="AO157" s="51"/>
      <c r="AP157" s="51"/>
      <c r="AQ157" s="51"/>
      <c r="AR157" s="51"/>
      <c r="AS157" s="51"/>
      <c r="AW157" s="51"/>
      <c r="AX157" s="51"/>
      <c r="AY157" s="51"/>
      <c r="AZ157" s="51"/>
      <c r="BA157" s="51"/>
      <c r="BB157" s="51"/>
      <c r="BC157" s="51"/>
      <c r="BD157" s="51"/>
      <c r="BE157" s="51"/>
      <c r="BF157" s="51"/>
      <c r="BG157" s="51"/>
      <c r="BH157" s="51"/>
      <c r="BI157" s="51"/>
      <c r="BJ157" s="51"/>
      <c r="BK157" s="51"/>
      <c r="BL157" s="51"/>
      <c r="BM157" s="51"/>
    </row>
    <row r="158" spans="2:65" ht="19.5">
      <c r="B158" s="12" t="s">
        <v>79</v>
      </c>
      <c r="D158" s="108">
        <f>FxFay</f>
        <v>47.598684210526308</v>
      </c>
      <c r="E158" s="86" t="s">
        <v>81</v>
      </c>
      <c r="F158" s="56"/>
      <c r="G158" s="108">
        <f>0</f>
        <v>0</v>
      </c>
      <c r="H158" s="119"/>
      <c r="I158" s="76"/>
      <c r="J158" s="25"/>
      <c r="K158" s="25"/>
      <c r="L158" s="26"/>
      <c r="AC158" s="51"/>
      <c r="AD158" s="51"/>
      <c r="AE158" s="51"/>
      <c r="AF158" s="51"/>
      <c r="AG158" s="51"/>
      <c r="AH158" s="51"/>
      <c r="AI158" s="51"/>
      <c r="AJ158" s="51"/>
      <c r="AK158" s="51"/>
      <c r="AL158" s="51"/>
      <c r="AM158" s="51"/>
      <c r="AN158" s="51"/>
      <c r="AO158" s="51"/>
      <c r="AP158" s="51"/>
      <c r="AQ158" s="51"/>
      <c r="AR158" s="51"/>
      <c r="AS158" s="51"/>
      <c r="AW158" s="51"/>
      <c r="AX158" s="51"/>
      <c r="AY158" s="51"/>
      <c r="AZ158" s="51"/>
      <c r="BA158" s="51"/>
      <c r="BB158" s="51"/>
      <c r="BC158" s="51"/>
      <c r="BD158" s="51"/>
      <c r="BE158" s="51"/>
      <c r="BF158" s="51"/>
      <c r="BG158" s="51"/>
      <c r="BH158" s="51"/>
      <c r="BI158" s="51"/>
      <c r="BJ158" s="51"/>
      <c r="BK158" s="51"/>
      <c r="BL158" s="51"/>
      <c r="BM158" s="51"/>
    </row>
    <row r="159" spans="2:65" ht="19.5">
      <c r="B159" s="12" t="s">
        <v>96</v>
      </c>
      <c r="D159" s="108">
        <f>-FyFay</f>
        <v>-14.469999999999999</v>
      </c>
      <c r="E159" s="86" t="s">
        <v>82</v>
      </c>
      <c r="F159" s="56"/>
      <c r="G159" s="108">
        <f>0</f>
        <v>0</v>
      </c>
      <c r="H159" s="119"/>
      <c r="I159" s="76"/>
      <c r="J159" s="25"/>
      <c r="K159" s="25"/>
      <c r="L159" s="26"/>
      <c r="AC159" s="51"/>
      <c r="AD159" s="51"/>
      <c r="AE159" s="51"/>
      <c r="AF159" s="51"/>
      <c r="AG159" s="51"/>
      <c r="AH159" s="51"/>
      <c r="AI159" s="51"/>
      <c r="AJ159" s="51"/>
      <c r="AK159" s="51"/>
      <c r="AL159" s="51"/>
      <c r="AM159" s="51"/>
      <c r="AN159" s="51"/>
      <c r="AO159" s="51"/>
      <c r="AP159" s="51"/>
      <c r="AQ159" s="51"/>
      <c r="AR159" s="51"/>
      <c r="AS159" s="51"/>
      <c r="AW159" s="51"/>
      <c r="AX159" s="51"/>
      <c r="AY159" s="51"/>
      <c r="AZ159" s="51"/>
      <c r="BA159" s="51"/>
      <c r="BB159" s="51"/>
      <c r="BC159" s="51"/>
      <c r="BD159" s="51"/>
      <c r="BE159" s="51"/>
      <c r="BF159" s="51"/>
      <c r="BG159" s="51"/>
      <c r="BH159" s="51"/>
      <c r="BI159" s="51"/>
      <c r="BJ159" s="51"/>
      <c r="BK159" s="51"/>
      <c r="BL159" s="51"/>
      <c r="BM159" s="51"/>
    </row>
    <row r="160" spans="2:65" ht="19.5">
      <c r="B160" s="12" t="s">
        <v>104</v>
      </c>
      <c r="D160" s="108">
        <f>Fzgravity-FzFay</f>
        <v>-21.133815789473683</v>
      </c>
      <c r="E160" s="86" t="s">
        <v>106</v>
      </c>
      <c r="F160" s="56"/>
      <c r="G160" s="108">
        <f>Fzgravity</f>
        <v>7.2349999999999994</v>
      </c>
      <c r="H160" s="119"/>
      <c r="I160" s="76"/>
      <c r="J160" s="25"/>
      <c r="K160" s="25"/>
      <c r="L160" s="26"/>
      <c r="AC160" s="51"/>
      <c r="AD160" s="51"/>
      <c r="AE160" s="51"/>
      <c r="AF160" s="51"/>
      <c r="AG160" s="51"/>
      <c r="AH160" s="51"/>
      <c r="AI160" s="51"/>
      <c r="AJ160" s="51"/>
      <c r="AK160" s="51"/>
      <c r="AL160" s="51"/>
      <c r="AM160" s="51"/>
      <c r="AN160" s="51"/>
      <c r="AO160" s="51"/>
      <c r="AP160" s="51"/>
      <c r="AQ160" s="51"/>
      <c r="AR160" s="51"/>
      <c r="AS160" s="51"/>
      <c r="AW160" s="51"/>
      <c r="AX160" s="51"/>
      <c r="AY160" s="51"/>
      <c r="AZ160" s="51"/>
      <c r="BA160" s="51"/>
      <c r="BB160" s="51"/>
      <c r="BC160" s="51"/>
      <c r="BD160" s="51"/>
      <c r="BE160" s="51"/>
      <c r="BF160" s="51"/>
      <c r="BG160" s="51"/>
      <c r="BH160" s="51"/>
      <c r="BI160" s="51"/>
      <c r="BJ160" s="51"/>
      <c r="BK160" s="51"/>
      <c r="BL160" s="51"/>
      <c r="BM160" s="51"/>
    </row>
    <row r="161" spans="2:65" ht="15">
      <c r="B161" s="83" t="s">
        <v>385</v>
      </c>
      <c r="C161" s="73"/>
      <c r="D161" s="110"/>
      <c r="E161" s="84" t="s">
        <v>58</v>
      </c>
      <c r="F161" s="93"/>
      <c r="G161" s="110"/>
      <c r="H161" s="120"/>
      <c r="I161" s="76"/>
      <c r="J161" s="25"/>
      <c r="K161" s="25"/>
      <c r="L161" s="26"/>
      <c r="AC161" s="51"/>
      <c r="AD161" s="51"/>
      <c r="AE161" s="51"/>
      <c r="AF161" s="51"/>
      <c r="AG161" s="51"/>
      <c r="AH161" s="51"/>
      <c r="AI161" s="51"/>
      <c r="AJ161" s="51"/>
      <c r="AK161" s="51"/>
      <c r="AL161" s="51"/>
      <c r="AM161" s="51"/>
      <c r="AN161" s="51"/>
      <c r="AO161" s="51"/>
      <c r="AP161" s="51"/>
      <c r="AQ161" s="51"/>
      <c r="AR161" s="51"/>
      <c r="AS161" s="51"/>
      <c r="AW161" s="51"/>
      <c r="AX161" s="51"/>
      <c r="AY161" s="51"/>
      <c r="AZ161" s="51"/>
      <c r="BA161" s="51"/>
      <c r="BB161" s="51"/>
      <c r="BC161" s="51"/>
      <c r="BD161" s="51"/>
      <c r="BE161" s="51"/>
      <c r="BF161" s="51"/>
      <c r="BG161" s="51"/>
      <c r="BH161" s="51"/>
      <c r="BI161" s="51"/>
      <c r="BJ161" s="51"/>
      <c r="BK161" s="51"/>
      <c r="BL161" s="51"/>
      <c r="BM161" s="51"/>
    </row>
    <row r="162" spans="2:65" ht="19.5">
      <c r="B162" s="12" t="s">
        <v>83</v>
      </c>
      <c r="C162" s="95"/>
      <c r="D162" s="108">
        <f>-FxFay</f>
        <v>-47.598684210526308</v>
      </c>
      <c r="E162" s="86" t="s">
        <v>85</v>
      </c>
      <c r="F162" s="56"/>
      <c r="G162" s="108">
        <f>0</f>
        <v>0</v>
      </c>
      <c r="H162" s="119"/>
      <c r="I162" s="76"/>
      <c r="J162" s="25"/>
      <c r="K162" s="25"/>
      <c r="L162" s="26"/>
      <c r="AC162" s="51"/>
      <c r="AD162" s="51"/>
      <c r="AE162" s="51"/>
      <c r="AF162" s="51"/>
      <c r="AG162" s="51"/>
      <c r="AH162" s="51"/>
      <c r="AI162" s="51"/>
      <c r="AJ162" s="51"/>
      <c r="AK162" s="51"/>
      <c r="AL162" s="51"/>
      <c r="AM162" s="51"/>
      <c r="AN162" s="51"/>
      <c r="AO162" s="51"/>
      <c r="AP162" s="51"/>
      <c r="AQ162" s="51"/>
      <c r="AR162" s="51"/>
      <c r="AS162" s="51"/>
      <c r="AW162" s="51"/>
      <c r="AX162" s="51"/>
      <c r="AY162" s="51"/>
      <c r="AZ162" s="51"/>
      <c r="BA162" s="51"/>
      <c r="BB162" s="51"/>
      <c r="BC162" s="51"/>
      <c r="BD162" s="51"/>
      <c r="BE162" s="51"/>
      <c r="BF162" s="51"/>
      <c r="BG162" s="51"/>
      <c r="BH162" s="51"/>
      <c r="BI162" s="51"/>
      <c r="BJ162" s="51"/>
      <c r="BK162" s="51"/>
      <c r="BL162" s="51"/>
      <c r="BM162" s="51"/>
    </row>
    <row r="163" spans="2:65" ht="19.5">
      <c r="B163" s="12" t="s">
        <v>97</v>
      </c>
      <c r="C163" s="95"/>
      <c r="D163" s="108">
        <f>-FyFay</f>
        <v>-14.469999999999999</v>
      </c>
      <c r="E163" s="86" t="s">
        <v>86</v>
      </c>
      <c r="F163" s="56"/>
      <c r="G163" s="108">
        <f>0</f>
        <v>0</v>
      </c>
      <c r="H163" s="119"/>
      <c r="I163" s="76"/>
      <c r="J163" s="25"/>
      <c r="K163" s="25"/>
      <c r="L163" s="26"/>
      <c r="AC163" s="51"/>
      <c r="AD163" s="51"/>
      <c r="AE163" s="51"/>
      <c r="AF163" s="51"/>
      <c r="AG163" s="51"/>
      <c r="AH163" s="51"/>
      <c r="AI163" s="51"/>
      <c r="AJ163" s="51"/>
      <c r="AK163" s="51"/>
      <c r="AL163" s="51"/>
      <c r="AM163" s="51"/>
      <c r="AN163" s="51"/>
      <c r="AO163" s="51"/>
      <c r="AP163" s="51"/>
      <c r="AQ163" s="51"/>
      <c r="AR163" s="51"/>
      <c r="AS163" s="51"/>
      <c r="AW163" s="51"/>
      <c r="AX163" s="51"/>
      <c r="AY163" s="51"/>
      <c r="AZ163" s="51"/>
      <c r="BA163" s="51"/>
      <c r="BB163" s="51"/>
      <c r="BC163" s="51"/>
      <c r="BD163" s="51"/>
      <c r="BE163" s="51"/>
      <c r="BF163" s="51"/>
      <c r="BG163" s="51"/>
      <c r="BH163" s="51"/>
      <c r="BI163" s="51"/>
      <c r="BJ163" s="51"/>
      <c r="BK163" s="51"/>
      <c r="BL163" s="51"/>
      <c r="BM163" s="51"/>
    </row>
    <row r="164" spans="2:65" ht="19.5">
      <c r="B164" s="12" t="s">
        <v>103</v>
      </c>
      <c r="C164" s="95"/>
      <c r="D164" s="108">
        <f>Fzgravity+FzFay</f>
        <v>35.603815789473686</v>
      </c>
      <c r="E164" s="86" t="s">
        <v>105</v>
      </c>
      <c r="F164" s="56"/>
      <c r="G164" s="108">
        <f>Fzgravity</f>
        <v>7.2349999999999994</v>
      </c>
      <c r="H164" s="119"/>
      <c r="I164" s="76"/>
      <c r="J164" s="25"/>
      <c r="K164" s="25"/>
      <c r="L164" s="26"/>
      <c r="AC164" s="51"/>
      <c r="AD164" s="51"/>
      <c r="AE164" s="51"/>
      <c r="AF164" s="51"/>
      <c r="AG164" s="51"/>
      <c r="AH164" s="51"/>
      <c r="AI164" s="51"/>
      <c r="AJ164" s="51"/>
      <c r="AK164" s="51"/>
      <c r="AL164" s="51"/>
      <c r="AM164" s="51"/>
      <c r="AN164" s="51"/>
      <c r="AO164" s="51"/>
      <c r="AP164" s="51"/>
      <c r="AQ164" s="51"/>
      <c r="AR164" s="51"/>
      <c r="AS164" s="51"/>
      <c r="AW164" s="51"/>
      <c r="AX164" s="51"/>
      <c r="AY164" s="51"/>
      <c r="AZ164" s="51"/>
      <c r="BA164" s="51"/>
      <c r="BB164" s="51"/>
      <c r="BC164" s="51"/>
      <c r="BD164" s="51"/>
      <c r="BE164" s="51"/>
      <c r="BF164" s="51"/>
      <c r="BG164" s="51"/>
      <c r="BH164" s="51"/>
      <c r="BI164" s="51"/>
      <c r="BJ164" s="51"/>
      <c r="BK164" s="51"/>
      <c r="BL164" s="51"/>
      <c r="BM164" s="51"/>
    </row>
    <row r="165" spans="2:65" ht="15">
      <c r="B165" s="12"/>
      <c r="C165" s="95"/>
      <c r="D165" s="14"/>
      <c r="E165" s="87"/>
      <c r="F165" s="56"/>
      <c r="G165" s="14"/>
      <c r="H165" s="14"/>
      <c r="I165" s="76"/>
      <c r="J165" s="25"/>
      <c r="K165" s="25"/>
      <c r="L165" s="26"/>
      <c r="AC165" s="51"/>
      <c r="AD165" s="51"/>
      <c r="AE165" s="51"/>
      <c r="AF165" s="51"/>
      <c r="AG165" s="51"/>
      <c r="AH165" s="51"/>
      <c r="AI165" s="51"/>
      <c r="AJ165" s="51"/>
      <c r="AK165" s="51"/>
      <c r="AL165" s="51"/>
      <c r="AM165" s="51"/>
      <c r="AN165" s="51"/>
      <c r="AO165" s="51"/>
      <c r="AP165" s="51"/>
      <c r="AQ165" s="51"/>
      <c r="AR165" s="51"/>
      <c r="AS165" s="51"/>
      <c r="AW165" s="51"/>
      <c r="AX165" s="51"/>
      <c r="AY165" s="51"/>
      <c r="AZ165" s="51"/>
      <c r="BA165" s="51"/>
      <c r="BB165" s="51"/>
      <c r="BC165" s="51"/>
      <c r="BD165" s="51"/>
      <c r="BE165" s="51"/>
      <c r="BF165" s="51"/>
      <c r="BG165" s="51"/>
      <c r="BH165" s="51"/>
      <c r="BI165" s="51"/>
      <c r="BJ165" s="51"/>
      <c r="BK165" s="51"/>
      <c r="BL165" s="51"/>
      <c r="BM165" s="51"/>
    </row>
    <row r="166" spans="2:65" ht="15.75">
      <c r="B166" s="197" t="s">
        <v>286</v>
      </c>
      <c r="C166" s="195"/>
      <c r="D166" s="198"/>
      <c r="E166" s="199"/>
      <c r="F166" s="200"/>
      <c r="G166" s="201"/>
      <c r="H166" s="90"/>
      <c r="I166" s="76"/>
      <c r="J166" s="25"/>
      <c r="K166" s="25"/>
      <c r="L166" s="26"/>
      <c r="AC166" s="51"/>
      <c r="AD166" s="51"/>
      <c r="AE166" s="51"/>
      <c r="AF166" s="51"/>
      <c r="AG166" s="51"/>
      <c r="AH166" s="51"/>
      <c r="AI166" s="51"/>
      <c r="AJ166" s="51"/>
      <c r="AK166" s="51"/>
      <c r="AL166" s="51"/>
      <c r="AM166" s="51"/>
      <c r="AN166" s="51"/>
      <c r="AO166" s="51"/>
      <c r="AP166" s="51"/>
      <c r="AQ166" s="51"/>
      <c r="AR166" s="51"/>
      <c r="AS166" s="51"/>
      <c r="AW166" s="51"/>
      <c r="AX166" s="51"/>
      <c r="AY166" s="51"/>
      <c r="AZ166" s="51"/>
      <c r="BA166" s="51"/>
      <c r="BB166" s="51"/>
      <c r="BC166" s="51"/>
      <c r="BD166" s="51"/>
      <c r="BE166" s="51"/>
      <c r="BF166" s="51"/>
      <c r="BG166" s="51"/>
      <c r="BH166" s="51"/>
      <c r="BI166" s="51"/>
      <c r="BJ166" s="51"/>
      <c r="BK166" s="51"/>
      <c r="BL166" s="51"/>
      <c r="BM166" s="51"/>
    </row>
    <row r="167" spans="2:65" ht="15">
      <c r="B167" s="89" t="s">
        <v>400</v>
      </c>
      <c r="C167" s="4"/>
      <c r="D167" s="22"/>
      <c r="E167" s="97" t="s">
        <v>56</v>
      </c>
      <c r="F167" s="92"/>
      <c r="G167" s="100"/>
      <c r="H167" s="92"/>
      <c r="I167" s="76"/>
      <c r="J167" s="25"/>
      <c r="K167" s="25"/>
      <c r="L167" s="26"/>
      <c r="AC167" s="51"/>
      <c r="AD167" s="51"/>
      <c r="AE167" s="51"/>
      <c r="AF167" s="51"/>
      <c r="AG167" s="51"/>
      <c r="AH167" s="51"/>
      <c r="AI167" s="51"/>
      <c r="AJ167" s="51"/>
      <c r="AK167" s="51"/>
      <c r="AL167" s="51"/>
      <c r="AM167" s="51"/>
      <c r="AN167" s="51"/>
      <c r="AO167" s="51"/>
      <c r="AP167" s="51"/>
      <c r="AQ167" s="51"/>
      <c r="AR167" s="51"/>
      <c r="AS167" s="51"/>
      <c r="AW167" s="51"/>
      <c r="AX167" s="51"/>
      <c r="AY167" s="51"/>
      <c r="AZ167" s="51"/>
      <c r="BA167" s="51"/>
      <c r="BB167" s="51"/>
      <c r="BC167" s="51"/>
      <c r="BD167" s="51"/>
      <c r="BE167" s="51"/>
      <c r="BF167" s="51"/>
      <c r="BG167" s="51"/>
      <c r="BH167" s="51"/>
      <c r="BI167" s="51"/>
      <c r="BJ167" s="51"/>
      <c r="BK167" s="51"/>
      <c r="BL167" s="51"/>
      <c r="BM167" s="51"/>
    </row>
    <row r="168" spans="2:65" ht="15">
      <c r="B168" s="83" t="s">
        <v>384</v>
      </c>
      <c r="C168" s="73"/>
      <c r="D168" s="85"/>
      <c r="E168" s="84" t="s">
        <v>57</v>
      </c>
      <c r="F168" s="93"/>
      <c r="G168" s="94"/>
      <c r="H168" s="92"/>
      <c r="I168" s="76"/>
      <c r="J168" s="25"/>
      <c r="K168" s="25"/>
      <c r="L168" s="26"/>
      <c r="AC168" s="51"/>
      <c r="AD168" s="51"/>
      <c r="AE168" s="51"/>
      <c r="AF168" s="51"/>
      <c r="AG168" s="51"/>
      <c r="AH168" s="51"/>
      <c r="AI168" s="51"/>
      <c r="AJ168" s="51"/>
      <c r="AK168" s="51"/>
      <c r="AL168" s="51"/>
      <c r="AM168" s="51"/>
      <c r="AN168" s="51"/>
      <c r="AO168" s="51"/>
      <c r="AP168" s="51"/>
      <c r="AQ168" s="51"/>
      <c r="AR168" s="51"/>
      <c r="AS168" s="51"/>
      <c r="AW168" s="51"/>
      <c r="AX168" s="51"/>
      <c r="AY168" s="51"/>
      <c r="AZ168" s="51"/>
      <c r="BA168" s="51"/>
      <c r="BB168" s="51"/>
      <c r="BC168" s="51"/>
      <c r="BD168" s="51"/>
      <c r="BE168" s="51"/>
      <c r="BF168" s="51"/>
      <c r="BG168" s="51"/>
      <c r="BH168" s="51"/>
      <c r="BI168" s="51"/>
      <c r="BJ168" s="51"/>
      <c r="BK168" s="51"/>
      <c r="BL168" s="51"/>
      <c r="BM168" s="51"/>
    </row>
    <row r="169" spans="2:65" ht="19.5">
      <c r="B169" s="12" t="s">
        <v>87</v>
      </c>
      <c r="D169" s="108">
        <f>-FxFay</f>
        <v>-47.598684210526308</v>
      </c>
      <c r="E169" s="86" t="s">
        <v>81</v>
      </c>
      <c r="F169" s="56"/>
      <c r="G169" s="108">
        <f>0</f>
        <v>0</v>
      </c>
      <c r="H169" s="119"/>
      <c r="I169" s="76"/>
      <c r="J169" s="25"/>
      <c r="K169" s="25"/>
      <c r="L169" s="26"/>
      <c r="AC169" s="51"/>
      <c r="AD169" s="51"/>
      <c r="AE169" s="51"/>
      <c r="AF169" s="51"/>
      <c r="AG169" s="51"/>
      <c r="AH169" s="51"/>
      <c r="AI169" s="51"/>
      <c r="AJ169" s="51"/>
      <c r="AK169" s="51"/>
      <c r="AL169" s="51"/>
      <c r="AM169" s="51"/>
      <c r="AN169" s="51"/>
      <c r="AO169" s="51"/>
      <c r="AP169" s="51"/>
      <c r="AQ169" s="51"/>
      <c r="AR169" s="51"/>
      <c r="AS169" s="51"/>
      <c r="AW169" s="51"/>
      <c r="AX169" s="51"/>
      <c r="AY169" s="51"/>
      <c r="AZ169" s="51"/>
      <c r="BA169" s="51"/>
      <c r="BB169" s="51"/>
      <c r="BC169" s="51"/>
      <c r="BD169" s="51"/>
      <c r="BE169" s="51"/>
      <c r="BF169" s="51"/>
      <c r="BG169" s="51"/>
      <c r="BH169" s="51"/>
      <c r="BI169" s="51"/>
      <c r="BJ169" s="51"/>
      <c r="BK169" s="51"/>
      <c r="BL169" s="51"/>
      <c r="BM169" s="51"/>
    </row>
    <row r="170" spans="2:65" ht="19.5">
      <c r="B170" s="12" t="s">
        <v>80</v>
      </c>
      <c r="D170" s="108">
        <f>FyFay</f>
        <v>14.469999999999999</v>
      </c>
      <c r="E170" s="86" t="s">
        <v>82</v>
      </c>
      <c r="F170" s="56"/>
      <c r="G170" s="108">
        <f>0</f>
        <v>0</v>
      </c>
      <c r="H170" s="119"/>
      <c r="I170" s="76"/>
      <c r="J170" s="25"/>
      <c r="K170" s="25"/>
      <c r="L170" s="26"/>
      <c r="AC170" s="51"/>
      <c r="AD170" s="51"/>
      <c r="AE170" s="51"/>
      <c r="AF170" s="51"/>
      <c r="AG170" s="51"/>
      <c r="AH170" s="51"/>
      <c r="AI170" s="51"/>
      <c r="AJ170" s="51"/>
      <c r="AK170" s="51"/>
      <c r="AL170" s="51"/>
      <c r="AM170" s="51"/>
      <c r="AN170" s="51"/>
      <c r="AO170" s="51"/>
      <c r="AP170" s="51"/>
      <c r="AQ170" s="51"/>
      <c r="AR170" s="51"/>
      <c r="AS170" s="51"/>
      <c r="AW170" s="51"/>
      <c r="AX170" s="51"/>
      <c r="AY170" s="51"/>
      <c r="AZ170" s="51"/>
      <c r="BA170" s="51"/>
      <c r="BB170" s="51"/>
      <c r="BC170" s="51"/>
      <c r="BD170" s="51"/>
      <c r="BE170" s="51"/>
      <c r="BF170" s="51"/>
      <c r="BG170" s="51"/>
      <c r="BH170" s="51"/>
      <c r="BI170" s="51"/>
      <c r="BJ170" s="51"/>
      <c r="BK170" s="51"/>
      <c r="BL170" s="51"/>
      <c r="BM170" s="51"/>
    </row>
    <row r="171" spans="2:65" ht="19.5">
      <c r="B171" s="12" t="s">
        <v>107</v>
      </c>
      <c r="D171" s="108">
        <f>Fzgravity+FzFay</f>
        <v>35.603815789473686</v>
      </c>
      <c r="E171" s="86" t="s">
        <v>109</v>
      </c>
      <c r="F171" s="56"/>
      <c r="G171" s="108">
        <f>Fzgravity</f>
        <v>7.2349999999999994</v>
      </c>
      <c r="H171" s="119"/>
      <c r="I171" s="76"/>
      <c r="J171" s="25"/>
      <c r="K171" s="56"/>
      <c r="L171" s="26"/>
      <c r="AC171" s="51"/>
      <c r="AD171" s="51"/>
      <c r="AE171" s="51"/>
      <c r="AF171" s="51"/>
      <c r="AG171" s="51"/>
      <c r="AH171" s="51"/>
      <c r="AI171" s="51"/>
      <c r="AJ171" s="51"/>
      <c r="AK171" s="51"/>
      <c r="AL171" s="51"/>
      <c r="AM171" s="51"/>
      <c r="AN171" s="51"/>
      <c r="AO171" s="51"/>
      <c r="AP171" s="51"/>
      <c r="AQ171" s="51"/>
      <c r="AR171" s="51"/>
      <c r="AS171" s="51"/>
      <c r="AW171" s="51"/>
      <c r="AX171" s="51"/>
      <c r="AY171" s="51"/>
      <c r="AZ171" s="51"/>
      <c r="BA171" s="51"/>
      <c r="BB171" s="51"/>
      <c r="BC171" s="51"/>
      <c r="BD171" s="51"/>
      <c r="BE171" s="51"/>
      <c r="BF171" s="51"/>
      <c r="BG171" s="51"/>
      <c r="BH171" s="51"/>
      <c r="BI171" s="51"/>
      <c r="BJ171" s="51"/>
      <c r="BK171" s="51"/>
      <c r="BL171" s="51"/>
      <c r="BM171" s="51"/>
    </row>
    <row r="172" spans="2:65" ht="15">
      <c r="B172" s="83" t="s">
        <v>385</v>
      </c>
      <c r="C172" s="73"/>
      <c r="D172" s="110"/>
      <c r="E172" s="84" t="s">
        <v>58</v>
      </c>
      <c r="F172" s="93"/>
      <c r="G172" s="110"/>
      <c r="H172" s="120"/>
      <c r="I172" s="76"/>
      <c r="J172" s="25"/>
      <c r="K172" s="25"/>
      <c r="L172" s="26"/>
      <c r="AC172" s="51"/>
      <c r="AD172" s="51"/>
      <c r="AE172" s="51"/>
      <c r="AF172" s="51"/>
      <c r="AG172" s="51"/>
      <c r="AH172" s="51"/>
      <c r="AI172" s="51"/>
      <c r="AJ172" s="51"/>
      <c r="AK172" s="51"/>
      <c r="AL172" s="51"/>
      <c r="AM172" s="51"/>
      <c r="AN172" s="51"/>
      <c r="AO172" s="51"/>
      <c r="AP172" s="51"/>
      <c r="AQ172" s="51"/>
      <c r="AR172" s="51"/>
      <c r="AS172" s="51"/>
      <c r="AW172" s="51"/>
      <c r="AX172" s="51"/>
      <c r="AY172" s="51"/>
      <c r="AZ172" s="51"/>
      <c r="BA172" s="51"/>
      <c r="BB172" s="51"/>
      <c r="BC172" s="51"/>
      <c r="BD172" s="51"/>
      <c r="BE172" s="51"/>
      <c r="BF172" s="51"/>
      <c r="BG172" s="51"/>
      <c r="BH172" s="51"/>
      <c r="BI172" s="51"/>
      <c r="BJ172" s="51"/>
      <c r="BK172" s="51"/>
      <c r="BL172" s="51"/>
      <c r="BM172" s="51"/>
    </row>
    <row r="173" spans="2:65" ht="15" customHeight="1">
      <c r="B173" s="12" t="s">
        <v>88</v>
      </c>
      <c r="C173" s="95"/>
      <c r="D173" s="108">
        <f>FxFay</f>
        <v>47.598684210526308</v>
      </c>
      <c r="E173" s="86" t="s">
        <v>85</v>
      </c>
      <c r="F173" s="56"/>
      <c r="G173" s="108">
        <f>0</f>
        <v>0</v>
      </c>
      <c r="H173" s="119"/>
      <c r="I173" s="81"/>
      <c r="J173" s="25"/>
      <c r="K173" s="25"/>
      <c r="L173" s="26"/>
      <c r="AC173" s="51"/>
      <c r="AD173" s="51"/>
      <c r="AE173" s="51"/>
      <c r="AF173" s="51"/>
      <c r="AG173" s="51"/>
      <c r="AH173" s="51"/>
      <c r="AI173" s="51"/>
      <c r="AJ173" s="51"/>
      <c r="AK173" s="51"/>
      <c r="AL173" s="51"/>
      <c r="AM173" s="51"/>
      <c r="AN173" s="51"/>
      <c r="AO173" s="51"/>
      <c r="AP173" s="51"/>
      <c r="AQ173" s="51"/>
      <c r="AR173" s="51"/>
      <c r="AS173" s="51"/>
      <c r="AW173" s="51"/>
      <c r="AX173" s="51"/>
      <c r="AY173" s="51"/>
      <c r="AZ173" s="51"/>
      <c r="BA173" s="51"/>
      <c r="BB173" s="51"/>
      <c r="BC173" s="51"/>
      <c r="BD173" s="51"/>
      <c r="BE173" s="51"/>
      <c r="BF173" s="51"/>
      <c r="BG173" s="51"/>
      <c r="BH173" s="51"/>
      <c r="BI173" s="51"/>
      <c r="BJ173" s="51"/>
      <c r="BK173" s="51"/>
      <c r="BL173" s="51"/>
      <c r="BM173" s="51"/>
    </row>
    <row r="174" spans="2:65" ht="19.5">
      <c r="B174" s="12" t="s">
        <v>84</v>
      </c>
      <c r="C174" s="95"/>
      <c r="D174" s="108">
        <f>FyFay</f>
        <v>14.469999999999999</v>
      </c>
      <c r="E174" s="86" t="s">
        <v>86</v>
      </c>
      <c r="F174" s="56"/>
      <c r="G174" s="108">
        <f>0</f>
        <v>0</v>
      </c>
      <c r="H174" s="119"/>
      <c r="I174" s="25"/>
      <c r="J174" s="25"/>
      <c r="K174" s="25"/>
      <c r="L174" s="26"/>
      <c r="AC174" s="51"/>
      <c r="AD174" s="51"/>
      <c r="AE174" s="51"/>
      <c r="AF174" s="51"/>
      <c r="AG174" s="51"/>
      <c r="AH174" s="51"/>
      <c r="AI174" s="51"/>
      <c r="AJ174" s="51"/>
      <c r="AK174" s="51"/>
      <c r="AL174" s="51"/>
      <c r="AM174" s="51"/>
      <c r="AN174" s="51"/>
      <c r="AO174" s="51"/>
      <c r="AP174" s="51"/>
      <c r="AQ174" s="51"/>
      <c r="AR174" s="51"/>
      <c r="AS174" s="51"/>
      <c r="AW174" s="51"/>
      <c r="AX174" s="51"/>
      <c r="AY174" s="51"/>
      <c r="AZ174" s="51"/>
      <c r="BA174" s="51"/>
      <c r="BB174" s="51"/>
      <c r="BC174" s="51"/>
      <c r="BD174" s="51"/>
      <c r="BE174" s="51"/>
      <c r="BF174" s="51"/>
      <c r="BG174" s="51"/>
      <c r="BH174" s="51"/>
      <c r="BI174" s="51"/>
      <c r="BJ174" s="51"/>
      <c r="BK174" s="51"/>
      <c r="BL174" s="51"/>
      <c r="BM174" s="51"/>
    </row>
    <row r="175" spans="2:65" ht="19.5">
      <c r="B175" s="12" t="s">
        <v>108</v>
      </c>
      <c r="D175" s="108">
        <f>Fzgravity-FzFay</f>
        <v>-21.133815789473683</v>
      </c>
      <c r="E175" s="86" t="s">
        <v>105</v>
      </c>
      <c r="F175" s="56"/>
      <c r="G175" s="108">
        <f>Fzgravity</f>
        <v>7.2349999999999994</v>
      </c>
      <c r="H175" s="119"/>
      <c r="I175" s="25"/>
      <c r="J175" s="25"/>
      <c r="K175" s="25"/>
      <c r="L175" s="26"/>
      <c r="AC175" s="51"/>
      <c r="AD175" s="51"/>
      <c r="AE175" s="51"/>
      <c r="AF175" s="51"/>
      <c r="AG175" s="51"/>
      <c r="AH175" s="51"/>
      <c r="AI175" s="51"/>
      <c r="AJ175" s="51"/>
      <c r="AK175" s="51"/>
      <c r="AL175" s="51"/>
      <c r="AM175" s="51"/>
      <c r="AN175" s="51"/>
      <c r="AO175" s="51"/>
      <c r="AP175" s="51"/>
      <c r="AQ175" s="51"/>
      <c r="AR175" s="51"/>
      <c r="AS175" s="51"/>
      <c r="AW175" s="51"/>
      <c r="AX175" s="51"/>
      <c r="AY175" s="51"/>
      <c r="AZ175" s="51"/>
      <c r="BA175" s="51"/>
      <c r="BB175" s="51"/>
      <c r="BC175" s="51"/>
      <c r="BD175" s="51"/>
      <c r="BE175" s="51"/>
      <c r="BF175" s="51"/>
      <c r="BG175" s="51"/>
      <c r="BH175" s="51"/>
      <c r="BI175" s="51"/>
      <c r="BJ175" s="51"/>
      <c r="BK175" s="51"/>
      <c r="BL175" s="51"/>
      <c r="BM175" s="51"/>
    </row>
    <row r="176" spans="2:65" ht="15.75">
      <c r="B176" s="12"/>
      <c r="D176" s="104"/>
      <c r="E176" s="87"/>
      <c r="F176" s="30"/>
      <c r="G176" s="11"/>
      <c r="H176" s="11"/>
      <c r="I176" s="32"/>
      <c r="J176" s="25"/>
      <c r="K176" s="25"/>
      <c r="L176" s="26"/>
      <c r="AC176" s="51"/>
      <c r="AD176" s="51"/>
      <c r="AE176" s="51"/>
      <c r="AF176" s="51"/>
      <c r="AG176" s="51"/>
      <c r="AH176" s="51"/>
      <c r="AI176" s="51"/>
      <c r="AJ176" s="51"/>
      <c r="AK176" s="51"/>
      <c r="AL176" s="51"/>
      <c r="AM176" s="51"/>
      <c r="AN176" s="51"/>
      <c r="AO176" s="51"/>
      <c r="AP176" s="51"/>
      <c r="AQ176" s="51"/>
      <c r="AR176" s="51"/>
      <c r="AS176" s="51"/>
      <c r="AW176" s="51"/>
      <c r="AX176" s="51"/>
      <c r="AY176" s="51"/>
      <c r="AZ176" s="51"/>
      <c r="BA176" s="51"/>
      <c r="BB176" s="51"/>
      <c r="BC176" s="51"/>
      <c r="BD176" s="51"/>
      <c r="BE176" s="51"/>
      <c r="BF176" s="51"/>
      <c r="BG176" s="51"/>
      <c r="BH176" s="51"/>
      <c r="BI176" s="51"/>
      <c r="BJ176" s="51"/>
      <c r="BK176" s="51"/>
      <c r="BL176" s="51"/>
      <c r="BM176" s="51"/>
    </row>
    <row r="177" spans="2:65" ht="18.75">
      <c r="B177" s="152" t="s">
        <v>407</v>
      </c>
      <c r="C177" s="153"/>
      <c r="D177" s="153"/>
      <c r="E177" s="153"/>
      <c r="F177" s="153"/>
      <c r="G177" s="153"/>
      <c r="H177" s="153"/>
      <c r="I177" s="153"/>
      <c r="J177" s="153"/>
      <c r="K177" s="374" t="s">
        <v>193</v>
      </c>
      <c r="L177" s="375"/>
      <c r="AC177" s="51"/>
      <c r="AD177" s="51"/>
      <c r="AE177" s="51"/>
      <c r="AF177" s="51"/>
      <c r="AG177" s="51"/>
      <c r="AH177" s="51"/>
      <c r="AI177" s="51"/>
      <c r="AJ177" s="51"/>
      <c r="AK177" s="51"/>
      <c r="AL177" s="51"/>
      <c r="AM177" s="51"/>
      <c r="AN177" s="51"/>
      <c r="AO177" s="51"/>
      <c r="AP177" s="51"/>
      <c r="AQ177" s="51"/>
      <c r="AR177" s="51"/>
      <c r="AS177" s="51"/>
      <c r="AW177" s="51"/>
      <c r="AX177" s="51"/>
      <c r="AY177" s="51"/>
      <c r="AZ177" s="51"/>
      <c r="BA177" s="51"/>
      <c r="BB177" s="51"/>
      <c r="BC177" s="51"/>
      <c r="BD177" s="51"/>
      <c r="BE177" s="51"/>
      <c r="BF177" s="51"/>
      <c r="BG177" s="51"/>
      <c r="BH177" s="51"/>
      <c r="BI177" s="51"/>
      <c r="BJ177" s="51"/>
      <c r="BK177" s="51"/>
      <c r="BL177" s="51"/>
      <c r="BM177" s="51"/>
    </row>
    <row r="178" spans="2:65" ht="18">
      <c r="B178" s="12"/>
      <c r="C178" s="4"/>
      <c r="D178" s="22"/>
      <c r="E178" s="10"/>
      <c r="F178" s="28"/>
      <c r="G178" s="24"/>
      <c r="H178" s="24"/>
      <c r="I178" s="81"/>
      <c r="J178" s="7"/>
      <c r="K178" s="7"/>
      <c r="L178" s="15"/>
      <c r="M178" s="50"/>
      <c r="N178" s="50"/>
      <c r="O178" s="50"/>
      <c r="P178" s="50"/>
      <c r="Q178" s="50"/>
      <c r="R178" s="50"/>
      <c r="S178" s="50"/>
      <c r="T178" s="50"/>
      <c r="U178" s="50"/>
      <c r="X178" s="4"/>
      <c r="Y178" s="4"/>
      <c r="Z178" s="4"/>
      <c r="AA178" s="4"/>
      <c r="AC178" s="51"/>
      <c r="AD178" s="51"/>
      <c r="AE178" s="51"/>
      <c r="AF178" s="51"/>
      <c r="AG178" s="51"/>
      <c r="AH178" s="51"/>
      <c r="AI178" s="51"/>
      <c r="AJ178" s="51"/>
      <c r="AK178" s="51"/>
      <c r="AL178" s="51"/>
      <c r="AM178" s="51"/>
      <c r="AN178" s="51"/>
      <c r="AO178" s="51"/>
      <c r="AP178" s="51"/>
      <c r="AQ178" s="51"/>
      <c r="AR178" s="51"/>
      <c r="AS178" s="51"/>
      <c r="AW178" s="51"/>
      <c r="AX178" s="51"/>
      <c r="AY178" s="51"/>
      <c r="AZ178" s="51"/>
      <c r="BA178" s="51"/>
      <c r="BB178" s="51"/>
      <c r="BC178" s="51"/>
      <c r="BD178" s="51"/>
      <c r="BE178" s="51"/>
      <c r="BF178" s="51"/>
      <c r="BG178" s="51"/>
      <c r="BH178" s="51"/>
      <c r="BI178" s="51"/>
      <c r="BJ178" s="51"/>
      <c r="BK178" s="51"/>
      <c r="BL178" s="51"/>
      <c r="BM178" s="51"/>
    </row>
    <row r="179" spans="2:65" ht="19.5">
      <c r="B179" s="12" t="s">
        <v>204</v>
      </c>
      <c r="C179" s="4"/>
      <c r="D179" s="22"/>
      <c r="E179" s="10" t="s">
        <v>298</v>
      </c>
      <c r="F179" s="286">
        <f>QTot.One.Flight.ALS*(ad/gv)</f>
        <v>28.939999999999998</v>
      </c>
      <c r="G179" s="24"/>
      <c r="H179" s="24"/>
      <c r="I179" s="81"/>
      <c r="J179" s="7"/>
      <c r="K179" s="7"/>
      <c r="L179" s="15"/>
      <c r="M179" s="50"/>
      <c r="N179" s="50"/>
      <c r="O179" s="50"/>
      <c r="P179" s="50"/>
      <c r="Q179" s="50"/>
      <c r="R179" s="50"/>
      <c r="S179" s="50"/>
      <c r="T179" s="50"/>
      <c r="U179" s="50"/>
      <c r="W179" s="7"/>
      <c r="X179" s="7"/>
      <c r="Y179" s="4"/>
      <c r="Z179" s="4"/>
      <c r="AA179" s="4"/>
      <c r="AC179" s="51"/>
      <c r="AD179" s="51"/>
      <c r="AE179" s="51"/>
      <c r="AF179" s="51"/>
      <c r="AG179" s="51"/>
      <c r="AH179" s="51"/>
      <c r="AI179" s="51"/>
      <c r="AJ179" s="51"/>
      <c r="AK179" s="51"/>
      <c r="AL179" s="51"/>
      <c r="AM179" s="51"/>
      <c r="AN179" s="51"/>
      <c r="AO179" s="51"/>
      <c r="AP179" s="51"/>
      <c r="AQ179" s="51"/>
      <c r="AR179" s="51"/>
      <c r="AS179" s="51"/>
      <c r="AW179" s="51"/>
      <c r="AX179" s="51"/>
      <c r="AY179" s="51"/>
      <c r="AZ179" s="51"/>
      <c r="BA179" s="51"/>
      <c r="BB179" s="51"/>
      <c r="BC179" s="51"/>
      <c r="BD179" s="51"/>
      <c r="BE179" s="51"/>
      <c r="BF179" s="51"/>
      <c r="BG179" s="51"/>
      <c r="BH179" s="51"/>
      <c r="BI179" s="51"/>
      <c r="BJ179" s="51"/>
      <c r="BK179" s="51"/>
      <c r="BL179" s="51"/>
      <c r="BM179" s="51"/>
    </row>
    <row r="180" spans="2:65" ht="15">
      <c r="B180" s="12"/>
      <c r="C180" s="4"/>
      <c r="D180" s="22"/>
      <c r="E180" s="4"/>
      <c r="F180" s="49"/>
      <c r="G180" s="24"/>
      <c r="H180" s="24"/>
      <c r="I180" s="25"/>
      <c r="J180" s="25"/>
      <c r="K180" s="25"/>
      <c r="L180" s="26"/>
      <c r="M180" s="50"/>
      <c r="N180" s="50"/>
      <c r="O180" s="50"/>
      <c r="P180" s="50"/>
      <c r="Q180" s="50"/>
      <c r="R180" s="50"/>
      <c r="S180" s="50"/>
      <c r="T180" s="50"/>
      <c r="U180" s="50"/>
      <c r="W180" s="35"/>
      <c r="X180" s="7"/>
      <c r="Y180" s="4"/>
      <c r="Z180" s="4"/>
      <c r="AA180" s="4"/>
      <c r="AC180" s="51"/>
      <c r="AD180" s="51"/>
      <c r="AE180" s="51"/>
      <c r="AF180" s="51"/>
      <c r="AG180" s="51"/>
      <c r="AH180" s="51"/>
      <c r="AI180" s="51"/>
      <c r="AJ180" s="51"/>
      <c r="AK180" s="51"/>
      <c r="AL180" s="51"/>
      <c r="AM180" s="51"/>
      <c r="AN180" s="51"/>
      <c r="AO180" s="51"/>
      <c r="AP180" s="51"/>
      <c r="AQ180" s="51"/>
      <c r="AR180" s="51"/>
      <c r="AS180" s="51"/>
      <c r="AW180" s="51"/>
      <c r="AX180" s="51"/>
      <c r="AY180" s="51"/>
      <c r="AZ180" s="51"/>
      <c r="BA180" s="51"/>
      <c r="BB180" s="51"/>
      <c r="BC180" s="51"/>
      <c r="BD180" s="51"/>
      <c r="BE180" s="51"/>
      <c r="BF180" s="51"/>
      <c r="BG180" s="51"/>
      <c r="BH180" s="51"/>
      <c r="BI180" s="51"/>
      <c r="BJ180" s="51"/>
      <c r="BK180" s="51"/>
      <c r="BL180" s="51"/>
      <c r="BM180" s="51"/>
    </row>
    <row r="181" spans="2:65" ht="19.5">
      <c r="B181" s="105" t="s">
        <v>89</v>
      </c>
      <c r="C181" s="4"/>
      <c r="D181" s="22"/>
      <c r="E181" s="268" t="s">
        <v>288</v>
      </c>
      <c r="F181" s="287">
        <f>DEGREES((ATAN(Ce/Def)))</f>
        <v>73.090728189459213</v>
      </c>
      <c r="G181" s="24"/>
      <c r="H181" s="24"/>
      <c r="I181" s="4"/>
      <c r="J181" s="25"/>
      <c r="K181" s="25"/>
      <c r="L181" s="26"/>
      <c r="X181" s="69"/>
      <c r="Y181" s="69"/>
      <c r="Z181" s="4"/>
      <c r="AA181" s="69"/>
      <c r="AC181" s="51"/>
      <c r="AD181" s="51"/>
      <c r="AE181" s="51"/>
      <c r="AF181" s="51"/>
      <c r="AG181" s="51"/>
      <c r="AH181" s="51"/>
      <c r="AI181" s="51"/>
      <c r="AJ181" s="51"/>
      <c r="AK181" s="51"/>
      <c r="AL181" s="51"/>
      <c r="AM181" s="51"/>
      <c r="AN181" s="51"/>
      <c r="AO181" s="51"/>
      <c r="AP181" s="51"/>
      <c r="AQ181" s="51"/>
      <c r="AR181" s="51"/>
      <c r="AS181" s="51"/>
      <c r="AW181" s="51"/>
      <c r="AX181" s="51"/>
      <c r="AY181" s="51"/>
      <c r="AZ181" s="51"/>
      <c r="BA181" s="51"/>
      <c r="BB181" s="51"/>
      <c r="BC181" s="51"/>
      <c r="BD181" s="51"/>
      <c r="BE181" s="51"/>
      <c r="BF181" s="51"/>
      <c r="BG181" s="51"/>
      <c r="BH181" s="51"/>
      <c r="BI181" s="51"/>
      <c r="BJ181" s="51"/>
      <c r="BK181" s="51"/>
      <c r="BL181" s="51"/>
      <c r="BM181" s="51"/>
    </row>
    <row r="182" spans="2:65" ht="18">
      <c r="B182" s="31"/>
      <c r="C182" s="4"/>
      <c r="D182" s="22"/>
      <c r="E182" s="4"/>
      <c r="F182" s="32"/>
      <c r="G182" s="24"/>
      <c r="H182" s="24"/>
      <c r="I182" s="81"/>
      <c r="J182" s="25"/>
      <c r="K182" s="25"/>
      <c r="L182" s="26"/>
      <c r="X182" s="69"/>
      <c r="Y182" s="69"/>
      <c r="Z182" s="4"/>
      <c r="AA182" s="69"/>
      <c r="AC182" s="51"/>
      <c r="AD182" s="51"/>
      <c r="AE182" s="51"/>
      <c r="AF182" s="51"/>
      <c r="AG182" s="51"/>
      <c r="AH182" s="51"/>
      <c r="AI182" s="51"/>
      <c r="AJ182" s="51"/>
      <c r="AK182" s="51"/>
      <c r="AL182" s="51"/>
      <c r="AM182" s="51"/>
      <c r="AN182" s="51"/>
      <c r="AO182" s="51"/>
      <c r="AP182" s="51"/>
      <c r="AQ182" s="51"/>
      <c r="AR182" s="51"/>
      <c r="AS182" s="51"/>
      <c r="AW182" s="51"/>
      <c r="AX182" s="51"/>
      <c r="AY182" s="51"/>
      <c r="AZ182" s="51"/>
      <c r="BA182" s="51"/>
      <c r="BB182" s="51"/>
      <c r="BC182" s="51"/>
      <c r="BD182" s="51"/>
      <c r="BE182" s="51"/>
      <c r="BF182" s="51"/>
      <c r="BG182" s="51"/>
      <c r="BH182" s="51"/>
      <c r="BI182" s="51"/>
      <c r="BJ182" s="51"/>
      <c r="BK182" s="51"/>
      <c r="BL182" s="51"/>
      <c r="BM182" s="51"/>
    </row>
    <row r="183" spans="2:65" ht="19.5">
      <c r="B183" s="31" t="s">
        <v>205</v>
      </c>
      <c r="C183" s="4"/>
      <c r="D183" s="22"/>
      <c r="E183" s="4"/>
      <c r="F183" s="286">
        <f>COS(RADIANS(F181))*F179</f>
        <v>8.4174022985979189</v>
      </c>
      <c r="G183" s="24"/>
      <c r="H183" s="24"/>
      <c r="I183" s="25"/>
      <c r="J183" s="25"/>
      <c r="K183" s="25"/>
      <c r="L183" s="26"/>
      <c r="X183" s="69"/>
      <c r="Y183" s="69"/>
      <c r="Z183" s="4"/>
      <c r="AA183" s="69"/>
      <c r="AC183" s="51"/>
      <c r="AD183" s="51"/>
      <c r="AE183" s="51"/>
      <c r="AF183" s="51"/>
      <c r="AG183" s="51"/>
      <c r="AH183" s="51"/>
      <c r="AI183" s="51"/>
      <c r="AJ183" s="51"/>
      <c r="AK183" s="51"/>
      <c r="AL183" s="51"/>
      <c r="AM183" s="51"/>
      <c r="AN183" s="51"/>
      <c r="AO183" s="51"/>
      <c r="AP183" s="51"/>
      <c r="AQ183" s="51"/>
      <c r="AR183" s="51"/>
      <c r="AS183" s="51"/>
      <c r="AW183" s="51"/>
      <c r="AX183" s="51"/>
      <c r="AY183" s="51"/>
      <c r="AZ183" s="51"/>
      <c r="BA183" s="51"/>
      <c r="BB183" s="51"/>
      <c r="BC183" s="51"/>
      <c r="BD183" s="51"/>
      <c r="BE183" s="51"/>
      <c r="BF183" s="51"/>
      <c r="BG183" s="51"/>
      <c r="BH183" s="51"/>
      <c r="BI183" s="51"/>
      <c r="BJ183" s="51"/>
      <c r="BK183" s="51"/>
      <c r="BL183" s="51"/>
      <c r="BM183" s="51"/>
    </row>
    <row r="184" spans="2:65" ht="19.5">
      <c r="B184" s="31" t="s">
        <v>206</v>
      </c>
      <c r="C184" s="4"/>
      <c r="D184" s="22"/>
      <c r="E184" s="4"/>
      <c r="F184" s="286">
        <f>SIN(RADIANS(F181))*F179</f>
        <v>27.688823350651042</v>
      </c>
      <c r="G184" s="24"/>
      <c r="H184" s="24"/>
      <c r="I184" s="4"/>
      <c r="J184" s="25"/>
      <c r="K184" s="25"/>
      <c r="L184" s="26"/>
      <c r="X184" s="69"/>
      <c r="Y184" s="69"/>
      <c r="Z184" s="4"/>
      <c r="AA184" s="69"/>
      <c r="AC184" s="51"/>
      <c r="AD184" s="51"/>
      <c r="AE184" s="51"/>
      <c r="AF184" s="51"/>
      <c r="AG184" s="51"/>
      <c r="AH184" s="51"/>
      <c r="AI184" s="51"/>
      <c r="AJ184" s="51"/>
      <c r="AK184" s="51"/>
      <c r="AL184" s="51"/>
      <c r="AM184" s="51"/>
      <c r="AN184" s="51"/>
      <c r="AO184" s="51"/>
      <c r="AP184" s="51"/>
      <c r="AQ184" s="51"/>
      <c r="AR184" s="51"/>
      <c r="AS184" s="51"/>
      <c r="AW184" s="51"/>
      <c r="AX184" s="51"/>
      <c r="AY184" s="51"/>
      <c r="AZ184" s="51"/>
      <c r="BA184" s="51"/>
      <c r="BB184" s="51"/>
      <c r="BC184" s="51"/>
      <c r="BD184" s="51"/>
      <c r="BE184" s="51"/>
      <c r="BF184" s="51"/>
      <c r="BG184" s="51"/>
      <c r="BH184" s="51"/>
      <c r="BI184" s="51"/>
      <c r="BJ184" s="51"/>
      <c r="BK184" s="51"/>
      <c r="BL184" s="51"/>
      <c r="BM184" s="51"/>
    </row>
    <row r="185" spans="2:65" ht="15">
      <c r="B185" s="31"/>
      <c r="C185" s="4"/>
      <c r="D185" s="22"/>
      <c r="E185" s="7"/>
      <c r="F185" s="32"/>
      <c r="G185" s="24"/>
      <c r="H185" s="24"/>
      <c r="I185" s="4"/>
      <c r="J185" s="25"/>
      <c r="K185" s="25"/>
      <c r="L185" s="26"/>
      <c r="X185" s="56"/>
      <c r="Y185" s="56"/>
      <c r="AA185" s="56"/>
      <c r="AC185" s="51"/>
      <c r="AD185" s="51"/>
      <c r="AE185" s="51"/>
      <c r="AF185" s="51"/>
      <c r="AG185" s="51"/>
      <c r="AH185" s="51"/>
      <c r="AI185" s="51"/>
      <c r="AJ185" s="51"/>
      <c r="AK185" s="51"/>
      <c r="AL185" s="51"/>
      <c r="AM185" s="51"/>
      <c r="AN185" s="51"/>
      <c r="AO185" s="51"/>
      <c r="AP185" s="51"/>
      <c r="AQ185" s="51"/>
      <c r="AR185" s="51"/>
      <c r="AS185" s="51"/>
      <c r="AW185" s="51"/>
      <c r="AX185" s="51"/>
      <c r="AY185" s="51"/>
      <c r="AZ185" s="51"/>
      <c r="BA185" s="51"/>
      <c r="BB185" s="51"/>
      <c r="BC185" s="51"/>
      <c r="BD185" s="51"/>
      <c r="BE185" s="51"/>
      <c r="BF185" s="51"/>
      <c r="BG185" s="51"/>
      <c r="BH185" s="51"/>
      <c r="BI185" s="51"/>
      <c r="BJ185" s="51"/>
      <c r="BK185" s="51"/>
      <c r="BL185" s="51"/>
      <c r="BM185" s="51"/>
    </row>
    <row r="186" spans="2:65" ht="19.5">
      <c r="B186" s="12" t="s">
        <v>390</v>
      </c>
      <c r="C186" s="4"/>
      <c r="D186" s="22"/>
      <c r="E186" s="23" t="s">
        <v>49</v>
      </c>
      <c r="F186" s="17">
        <f>0.5*Fx</f>
        <v>4.2087011492989594</v>
      </c>
      <c r="G186" s="24"/>
      <c r="H186" s="24"/>
      <c r="I186" s="25"/>
      <c r="J186" s="25"/>
      <c r="K186" s="25"/>
      <c r="L186" s="26"/>
      <c r="X186" s="56"/>
      <c r="Y186" s="56"/>
      <c r="AA186" s="56"/>
      <c r="AC186" s="51"/>
      <c r="AD186" s="51"/>
      <c r="AE186" s="51"/>
      <c r="AF186" s="51"/>
      <c r="AG186" s="51"/>
      <c r="AH186" s="51"/>
      <c r="AI186" s="51"/>
      <c r="AJ186" s="51"/>
      <c r="AK186" s="51"/>
      <c r="AL186" s="51"/>
      <c r="AM186" s="51"/>
      <c r="AN186" s="51"/>
      <c r="AO186" s="51"/>
      <c r="AP186" s="51"/>
      <c r="AQ186" s="51"/>
      <c r="AR186" s="51"/>
      <c r="AS186" s="51"/>
      <c r="AW186" s="51"/>
      <c r="AX186" s="51"/>
      <c r="AY186" s="51"/>
      <c r="AZ186" s="51"/>
      <c r="BA186" s="51"/>
      <c r="BB186" s="51"/>
      <c r="BC186" s="51"/>
      <c r="BD186" s="51"/>
      <c r="BE186" s="51"/>
      <c r="BF186" s="51"/>
      <c r="BG186" s="51"/>
      <c r="BH186" s="51"/>
      <c r="BI186" s="51"/>
      <c r="BJ186" s="51"/>
      <c r="BK186" s="51"/>
      <c r="BL186" s="51"/>
      <c r="BM186" s="51"/>
    </row>
    <row r="187" spans="2:65" ht="19.5">
      <c r="B187" s="12" t="s">
        <v>391</v>
      </c>
      <c r="C187" s="69"/>
      <c r="D187" s="22"/>
      <c r="E187" s="23" t="s">
        <v>51</v>
      </c>
      <c r="F187" s="17">
        <f>0.5*Ce/Def*Fy</f>
        <v>45.540827879360265</v>
      </c>
      <c r="G187" s="24"/>
      <c r="H187" s="24"/>
      <c r="I187" s="25"/>
      <c r="J187" s="25"/>
      <c r="K187" s="25"/>
      <c r="L187" s="26"/>
      <c r="X187" s="56"/>
      <c r="Y187" s="56"/>
      <c r="AA187" s="56"/>
      <c r="AC187" s="51"/>
      <c r="AD187" s="51"/>
      <c r="AE187" s="51"/>
      <c r="AF187" s="51"/>
      <c r="AG187" s="51"/>
      <c r="AH187" s="51"/>
      <c r="AI187" s="51"/>
      <c r="AJ187" s="51"/>
      <c r="AK187" s="51"/>
      <c r="AL187" s="51"/>
      <c r="AM187" s="51"/>
      <c r="AN187" s="51"/>
      <c r="AO187" s="51"/>
      <c r="AP187" s="51"/>
      <c r="AQ187" s="51"/>
      <c r="AR187" s="51"/>
      <c r="AS187" s="51"/>
      <c r="AW187" s="51"/>
      <c r="AX187" s="51"/>
      <c r="AY187" s="51"/>
      <c r="AZ187" s="51"/>
      <c r="BA187" s="51"/>
      <c r="BB187" s="51"/>
      <c r="BC187" s="51"/>
      <c r="BD187" s="51"/>
      <c r="BE187" s="51"/>
      <c r="BF187" s="51"/>
      <c r="BG187" s="51"/>
      <c r="BH187" s="51"/>
      <c r="BI187" s="51"/>
      <c r="BJ187" s="51"/>
      <c r="BK187" s="51"/>
      <c r="BL187" s="51"/>
      <c r="BM187" s="51"/>
    </row>
    <row r="188" spans="2:65" ht="19.5">
      <c r="B188" s="12" t="s">
        <v>392</v>
      </c>
      <c r="C188" s="4"/>
      <c r="D188" s="22"/>
      <c r="E188" s="23" t="s">
        <v>54</v>
      </c>
      <c r="F188" s="17">
        <f>0</f>
        <v>0</v>
      </c>
      <c r="G188" s="24"/>
      <c r="H188" s="24"/>
      <c r="I188" s="25"/>
      <c r="J188" s="25"/>
      <c r="K188" s="25"/>
      <c r="L188" s="26"/>
      <c r="X188" s="56"/>
      <c r="Y188" s="56"/>
      <c r="AA188" s="56"/>
      <c r="AC188" s="51"/>
      <c r="AD188" s="51"/>
      <c r="AE188" s="51"/>
      <c r="AF188" s="51"/>
      <c r="AG188" s="51"/>
      <c r="AH188" s="51"/>
      <c r="AI188" s="51"/>
      <c r="AJ188" s="51"/>
      <c r="AK188" s="51"/>
      <c r="AL188" s="51"/>
      <c r="AM188" s="51"/>
      <c r="AN188" s="51"/>
      <c r="AO188" s="51"/>
      <c r="AP188" s="51"/>
      <c r="AQ188" s="51"/>
      <c r="AR188" s="51"/>
      <c r="AS188" s="51"/>
      <c r="AW188" s="51"/>
      <c r="AX188" s="51"/>
      <c r="AY188" s="51"/>
      <c r="AZ188" s="51"/>
      <c r="BA188" s="51"/>
      <c r="BB188" s="51"/>
      <c r="BC188" s="51"/>
      <c r="BD188" s="51"/>
      <c r="BE188" s="51"/>
      <c r="BF188" s="51"/>
      <c r="BG188" s="51"/>
      <c r="BH188" s="51"/>
      <c r="BI188" s="51"/>
      <c r="BJ188" s="51"/>
      <c r="BK188" s="51"/>
      <c r="BL188" s="51"/>
      <c r="BM188" s="51"/>
    </row>
    <row r="189" spans="2:65" ht="19.5">
      <c r="B189" s="12" t="s">
        <v>393</v>
      </c>
      <c r="C189" s="69"/>
      <c r="D189" s="22"/>
      <c r="E189" s="23" t="s">
        <v>55</v>
      </c>
      <c r="F189" s="17">
        <f>0.5*Fy</f>
        <v>13.844411675325521</v>
      </c>
      <c r="G189" s="24"/>
      <c r="H189" s="24"/>
      <c r="I189" s="25"/>
      <c r="J189" s="25"/>
      <c r="K189" s="25"/>
      <c r="L189" s="26"/>
      <c r="O189" s="413"/>
      <c r="P189" s="414"/>
      <c r="Q189" s="414"/>
      <c r="R189" s="414"/>
      <c r="S189" s="414"/>
      <c r="T189" s="414"/>
      <c r="U189" s="414"/>
      <c r="V189" s="414"/>
      <c r="W189" s="414"/>
      <c r="X189" s="56"/>
      <c r="Y189" s="56"/>
      <c r="AA189" s="56"/>
      <c r="AC189" s="51"/>
      <c r="AD189" s="51"/>
      <c r="AE189" s="51"/>
      <c r="AF189" s="51"/>
      <c r="AG189" s="51"/>
      <c r="AH189" s="51"/>
      <c r="AI189" s="51"/>
      <c r="AJ189" s="51"/>
      <c r="AK189" s="51"/>
      <c r="AL189" s="51"/>
      <c r="AM189" s="51"/>
      <c r="AN189" s="51"/>
      <c r="AO189" s="51"/>
      <c r="AP189" s="51"/>
      <c r="AQ189" s="51"/>
      <c r="AR189" s="51"/>
      <c r="AS189" s="51"/>
      <c r="AW189" s="51"/>
      <c r="AX189" s="51"/>
      <c r="AY189" s="51"/>
      <c r="AZ189" s="51"/>
      <c r="BA189" s="51"/>
      <c r="BB189" s="51"/>
      <c r="BC189" s="51"/>
      <c r="BD189" s="51"/>
      <c r="BE189" s="51"/>
      <c r="BF189" s="51"/>
      <c r="BG189" s="51"/>
      <c r="BH189" s="51"/>
      <c r="BI189" s="51"/>
      <c r="BJ189" s="51"/>
      <c r="BK189" s="51"/>
      <c r="BL189" s="51"/>
      <c r="BM189" s="51"/>
    </row>
    <row r="190" spans="2:65" ht="19.5">
      <c r="B190" s="12" t="s">
        <v>394</v>
      </c>
      <c r="C190" s="4"/>
      <c r="D190" s="22"/>
      <c r="E190" s="23" t="s">
        <v>48</v>
      </c>
      <c r="F190" s="17">
        <f>0.5*(Fx*(Htot/2)/Ce)</f>
        <v>1.2541929424910898</v>
      </c>
      <c r="G190" s="24"/>
      <c r="H190" s="24"/>
      <c r="I190" s="25"/>
      <c r="J190" s="25"/>
      <c r="K190" s="25"/>
      <c r="L190" s="26"/>
      <c r="O190" s="414"/>
      <c r="P190" s="414"/>
      <c r="Q190" s="414"/>
      <c r="R190" s="414"/>
      <c r="S190" s="414"/>
      <c r="T190" s="414"/>
      <c r="U190" s="414"/>
      <c r="V190" s="414"/>
      <c r="W190" s="414"/>
      <c r="X190" s="56"/>
      <c r="Y190" s="56"/>
      <c r="AA190" s="56"/>
      <c r="AC190" s="51"/>
      <c r="AD190" s="51"/>
      <c r="AE190" s="51"/>
      <c r="AF190" s="51"/>
      <c r="AG190" s="51"/>
      <c r="AH190" s="51"/>
      <c r="AI190" s="51"/>
      <c r="AJ190" s="51"/>
      <c r="AK190" s="51"/>
      <c r="AL190" s="51"/>
      <c r="AM190" s="51"/>
      <c r="AN190" s="51"/>
      <c r="AO190" s="51"/>
      <c r="AP190" s="51"/>
      <c r="AQ190" s="51"/>
      <c r="AR190" s="51"/>
      <c r="AS190" s="51"/>
      <c r="AW190" s="51"/>
      <c r="AX190" s="51"/>
      <c r="AY190" s="51"/>
      <c r="AZ190" s="51"/>
      <c r="BA190" s="51"/>
      <c r="BB190" s="51"/>
      <c r="BC190" s="51"/>
      <c r="BD190" s="51"/>
      <c r="BE190" s="51"/>
      <c r="BF190" s="51"/>
      <c r="BG190" s="51"/>
      <c r="BH190" s="51"/>
      <c r="BI190" s="51"/>
      <c r="BJ190" s="51"/>
      <c r="BK190" s="51"/>
      <c r="BL190" s="51"/>
      <c r="BM190" s="51"/>
    </row>
    <row r="191" spans="2:65" ht="19.5">
      <c r="B191" s="12" t="s">
        <v>395</v>
      </c>
      <c r="C191" s="69"/>
      <c r="D191" s="22"/>
      <c r="E191" s="23" t="s">
        <v>110</v>
      </c>
      <c r="F191" s="17">
        <f>Fy*(Htot/2)/Def</f>
        <v>27.142333416098719</v>
      </c>
      <c r="G191" s="24"/>
      <c r="H191" s="24"/>
      <c r="I191" s="25"/>
      <c r="J191" s="25"/>
      <c r="K191" s="25"/>
      <c r="L191" s="26"/>
      <c r="O191" s="414"/>
      <c r="P191" s="414"/>
      <c r="Q191" s="414"/>
      <c r="R191" s="414"/>
      <c r="S191" s="414"/>
      <c r="T191" s="414"/>
      <c r="U191" s="414"/>
      <c r="V191" s="414"/>
      <c r="W191" s="414"/>
      <c r="X191" s="56"/>
      <c r="Y191" s="56"/>
      <c r="AA191" s="56"/>
      <c r="AC191" s="51"/>
      <c r="AD191" s="51"/>
      <c r="AE191" s="51"/>
      <c r="AF191" s="51"/>
      <c r="AG191" s="51"/>
      <c r="AH191" s="51"/>
      <c r="AI191" s="51"/>
      <c r="AJ191" s="51"/>
      <c r="AK191" s="51"/>
      <c r="AL191" s="51"/>
      <c r="AM191" s="51"/>
      <c r="AN191" s="51"/>
      <c r="AO191" s="51"/>
      <c r="AP191" s="51"/>
      <c r="AQ191" s="51"/>
      <c r="AR191" s="51"/>
      <c r="AS191" s="51"/>
      <c r="AW191" s="51"/>
      <c r="AX191" s="51"/>
      <c r="AY191" s="51"/>
      <c r="AZ191" s="51"/>
      <c r="BA191" s="51"/>
      <c r="BB191" s="51"/>
      <c r="BC191" s="51"/>
      <c r="BD191" s="51"/>
      <c r="BE191" s="51"/>
      <c r="BF191" s="51"/>
      <c r="BG191" s="51"/>
      <c r="BH191" s="51"/>
      <c r="BI191" s="51"/>
      <c r="BJ191" s="51"/>
      <c r="BK191" s="51"/>
      <c r="BL191" s="51"/>
      <c r="BM191" s="51"/>
    </row>
    <row r="192" spans="2:65" ht="19.5">
      <c r="B192" s="12" t="s">
        <v>396</v>
      </c>
      <c r="C192" s="4"/>
      <c r="D192" s="22"/>
      <c r="E192" s="23" t="s">
        <v>129</v>
      </c>
      <c r="F192" s="17">
        <f>QTot.One.Flight.ALS/4</f>
        <v>7.2349999999999994</v>
      </c>
      <c r="G192" s="24"/>
      <c r="H192" s="24"/>
      <c r="I192" s="25"/>
      <c r="J192" s="25"/>
      <c r="K192" s="25"/>
      <c r="L192" s="26"/>
      <c r="O192" s="414"/>
      <c r="P192" s="414"/>
      <c r="Q192" s="414"/>
      <c r="R192" s="414"/>
      <c r="S192" s="414"/>
      <c r="T192" s="414"/>
      <c r="U192" s="414"/>
      <c r="V192" s="414"/>
      <c r="W192" s="414"/>
      <c r="X192" s="56"/>
      <c r="Y192" s="56"/>
      <c r="AA192" s="56"/>
      <c r="AC192" s="51"/>
      <c r="AD192" s="51"/>
      <c r="AE192" s="51"/>
      <c r="AF192" s="51"/>
      <c r="AG192" s="51"/>
      <c r="AH192" s="51"/>
      <c r="AI192" s="51"/>
      <c r="AJ192" s="51"/>
      <c r="AK192" s="51"/>
      <c r="AL192" s="51"/>
      <c r="AM192" s="51"/>
      <c r="AN192" s="51"/>
      <c r="AO192" s="51"/>
      <c r="AP192" s="51"/>
      <c r="AQ192" s="51"/>
      <c r="AR192" s="51"/>
      <c r="AS192" s="51"/>
      <c r="AW192" s="51"/>
      <c r="AX192" s="51"/>
      <c r="AY192" s="51"/>
      <c r="AZ192" s="51"/>
      <c r="BA192" s="51"/>
      <c r="BB192" s="51"/>
      <c r="BC192" s="51"/>
      <c r="BD192" s="51"/>
      <c r="BE192" s="51"/>
      <c r="BF192" s="51"/>
      <c r="BG192" s="51"/>
      <c r="BH192" s="51"/>
      <c r="BI192" s="51"/>
      <c r="BJ192" s="51"/>
      <c r="BK192" s="51"/>
      <c r="BL192" s="51"/>
      <c r="BM192" s="51"/>
    </row>
    <row r="193" spans="2:65" ht="15">
      <c r="B193" s="12"/>
      <c r="C193" s="69"/>
      <c r="D193" s="22"/>
      <c r="E193" s="23"/>
      <c r="F193" s="17"/>
      <c r="G193" s="24"/>
      <c r="H193" s="24"/>
      <c r="I193" s="25"/>
      <c r="J193" s="25"/>
      <c r="K193" s="25"/>
      <c r="L193" s="26"/>
      <c r="O193" s="414"/>
      <c r="P193" s="414"/>
      <c r="Q193" s="414"/>
      <c r="R193" s="414"/>
      <c r="S193" s="414"/>
      <c r="T193" s="414"/>
      <c r="U193" s="414"/>
      <c r="V193" s="414"/>
      <c r="W193" s="414"/>
      <c r="X193" s="56"/>
      <c r="Y193" s="56"/>
      <c r="AA193" s="56"/>
      <c r="AC193" s="51"/>
      <c r="AD193" s="51"/>
      <c r="AE193" s="51"/>
      <c r="AF193" s="51"/>
      <c r="AG193" s="51"/>
      <c r="AH193" s="51"/>
      <c r="AI193" s="51"/>
      <c r="AJ193" s="51"/>
      <c r="AK193" s="51"/>
      <c r="AL193" s="51"/>
      <c r="AM193" s="51"/>
      <c r="AN193" s="51"/>
      <c r="AO193" s="51"/>
      <c r="AP193" s="51"/>
      <c r="AQ193" s="51"/>
      <c r="AR193" s="51"/>
      <c r="AS193" s="51"/>
      <c r="AW193" s="51"/>
      <c r="AX193" s="51"/>
      <c r="AY193" s="51"/>
      <c r="AZ193" s="51"/>
      <c r="BA193" s="51"/>
      <c r="BB193" s="51"/>
      <c r="BC193" s="51"/>
      <c r="BD193" s="51"/>
      <c r="BE193" s="51"/>
      <c r="BF193" s="51"/>
      <c r="BG193" s="51"/>
      <c r="BH193" s="51"/>
      <c r="BI193" s="51"/>
      <c r="BJ193" s="51"/>
      <c r="BK193" s="51"/>
      <c r="BL193" s="51"/>
      <c r="BM193" s="51"/>
    </row>
    <row r="194" spans="2:65" ht="15.75">
      <c r="B194" s="197" t="s">
        <v>287</v>
      </c>
      <c r="C194" s="195"/>
      <c r="D194" s="198"/>
      <c r="E194" s="199"/>
      <c r="F194" s="200"/>
      <c r="G194" s="201"/>
      <c r="H194" s="90"/>
      <c r="I194" s="4"/>
      <c r="J194" s="25"/>
      <c r="K194" s="25"/>
      <c r="L194" s="26"/>
      <c r="O194" s="414"/>
      <c r="P194" s="414"/>
      <c r="Q194" s="414"/>
      <c r="R194" s="414"/>
      <c r="S194" s="414"/>
      <c r="T194" s="414"/>
      <c r="U194" s="414"/>
      <c r="V194" s="414"/>
      <c r="W194" s="414"/>
      <c r="X194" s="56"/>
      <c r="Y194" s="56"/>
      <c r="AA194" s="56"/>
      <c r="AC194" s="51"/>
      <c r="AD194" s="51"/>
      <c r="AE194" s="51"/>
      <c r="AF194" s="51"/>
      <c r="AG194" s="51"/>
      <c r="AH194" s="51"/>
      <c r="AI194" s="51"/>
      <c r="AJ194" s="51"/>
      <c r="AK194" s="51"/>
      <c r="AL194" s="51"/>
      <c r="AM194" s="51"/>
      <c r="AN194" s="51"/>
      <c r="AO194" s="51"/>
      <c r="AP194" s="51"/>
      <c r="AQ194" s="51"/>
      <c r="AR194" s="51"/>
      <c r="AS194" s="51"/>
      <c r="AW194" s="51"/>
      <c r="AX194" s="51"/>
      <c r="AY194" s="51"/>
      <c r="AZ194" s="51"/>
      <c r="BA194" s="51"/>
      <c r="BB194" s="51"/>
      <c r="BC194" s="51"/>
      <c r="BD194" s="51"/>
      <c r="BE194" s="51"/>
      <c r="BF194" s="51"/>
      <c r="BG194" s="51"/>
      <c r="BH194" s="51"/>
      <c r="BI194" s="51"/>
      <c r="BJ194" s="51"/>
      <c r="BK194" s="51"/>
      <c r="BL194" s="51"/>
      <c r="BM194" s="51"/>
    </row>
    <row r="195" spans="2:65" ht="15">
      <c r="B195" s="89" t="s">
        <v>400</v>
      </c>
      <c r="C195" s="4"/>
      <c r="D195" s="22"/>
      <c r="E195" s="97" t="s">
        <v>56</v>
      </c>
      <c r="F195" s="69"/>
      <c r="G195" s="101"/>
      <c r="H195" s="69"/>
      <c r="I195" s="4"/>
      <c r="J195" s="25"/>
      <c r="K195" s="25"/>
      <c r="L195" s="26"/>
      <c r="X195" s="56"/>
      <c r="Y195" s="56"/>
      <c r="AA195" s="56"/>
      <c r="AC195" s="51"/>
      <c r="AD195" s="51"/>
      <c r="AE195" s="51"/>
      <c r="AF195" s="51"/>
      <c r="AG195" s="51"/>
      <c r="AH195" s="51"/>
      <c r="AI195" s="51"/>
      <c r="AJ195" s="51"/>
      <c r="AK195" s="51"/>
      <c r="AL195" s="51"/>
      <c r="AM195" s="51"/>
      <c r="AN195" s="51"/>
      <c r="AO195" s="51"/>
      <c r="AP195" s="51"/>
      <c r="AQ195" s="51"/>
      <c r="AR195" s="51"/>
      <c r="AS195" s="51"/>
      <c r="AW195" s="51"/>
      <c r="AX195" s="51"/>
      <c r="AY195" s="51"/>
      <c r="AZ195" s="51"/>
      <c r="BA195" s="51"/>
      <c r="BB195" s="51"/>
      <c r="BC195" s="51"/>
      <c r="BD195" s="51"/>
      <c r="BE195" s="51"/>
      <c r="BF195" s="51"/>
      <c r="BG195" s="51"/>
      <c r="BH195" s="51"/>
      <c r="BI195" s="51"/>
      <c r="BJ195" s="51"/>
      <c r="BK195" s="51"/>
      <c r="BL195" s="51"/>
      <c r="BM195" s="51"/>
    </row>
    <row r="196" spans="2:65" ht="15">
      <c r="B196" s="83" t="s">
        <v>384</v>
      </c>
      <c r="C196" s="73"/>
      <c r="D196" s="85"/>
      <c r="E196" s="84" t="s">
        <v>57</v>
      </c>
      <c r="F196" s="102"/>
      <c r="G196" s="103"/>
      <c r="H196" s="69"/>
      <c r="I196" s="4"/>
      <c r="J196" s="25"/>
      <c r="K196" s="25"/>
      <c r="L196" s="26"/>
      <c r="X196" s="56"/>
      <c r="Y196" s="56"/>
      <c r="AA196" s="56"/>
      <c r="AC196" s="51"/>
      <c r="AD196" s="51"/>
      <c r="AE196" s="51"/>
      <c r="AF196" s="51"/>
      <c r="AG196" s="51"/>
      <c r="AH196" s="51"/>
      <c r="AI196" s="51"/>
      <c r="AJ196" s="51"/>
      <c r="AK196" s="51"/>
      <c r="AL196" s="51"/>
      <c r="AM196" s="51"/>
      <c r="AN196" s="51"/>
      <c r="AO196" s="51"/>
      <c r="AP196" s="51"/>
      <c r="AQ196" s="51"/>
      <c r="AR196" s="51"/>
      <c r="AS196" s="51"/>
      <c r="AW196" s="51"/>
      <c r="AX196" s="51"/>
      <c r="AY196" s="51"/>
      <c r="AZ196" s="51"/>
      <c r="BA196" s="51"/>
      <c r="BB196" s="51"/>
      <c r="BC196" s="51"/>
      <c r="BD196" s="51"/>
      <c r="BE196" s="51"/>
      <c r="BF196" s="51"/>
      <c r="BG196" s="51"/>
      <c r="BH196" s="51"/>
      <c r="BI196" s="51"/>
      <c r="BJ196" s="51"/>
      <c r="BK196" s="51"/>
      <c r="BL196" s="51"/>
      <c r="BM196" s="51"/>
    </row>
    <row r="197" spans="2:65" ht="19.5">
      <c r="B197" s="12" t="s">
        <v>90</v>
      </c>
      <c r="D197" s="108">
        <f>-FxFx+FxFy</f>
        <v>41.332126730061304</v>
      </c>
      <c r="E197" s="86" t="s">
        <v>59</v>
      </c>
      <c r="F197" s="56"/>
      <c r="G197" s="108">
        <f>0</f>
        <v>0</v>
      </c>
      <c r="H197" s="119"/>
      <c r="I197" s="4"/>
      <c r="J197" s="25"/>
      <c r="K197" s="25"/>
      <c r="L197" s="26"/>
      <c r="X197" s="56"/>
      <c r="Y197" s="56"/>
      <c r="AA197" s="56"/>
      <c r="AC197" s="51"/>
      <c r="AD197" s="51"/>
      <c r="AE197" s="51"/>
      <c r="AF197" s="51"/>
      <c r="AG197" s="51"/>
      <c r="AH197" s="51"/>
      <c r="AI197" s="51"/>
      <c r="AJ197" s="51"/>
      <c r="AK197" s="51"/>
      <c r="AL197" s="51"/>
      <c r="AM197" s="51"/>
      <c r="AN197" s="51"/>
      <c r="AO197" s="51"/>
      <c r="AP197" s="51"/>
      <c r="AQ197" s="51"/>
      <c r="AR197" s="51"/>
      <c r="AS197" s="51"/>
      <c r="AW197" s="51"/>
      <c r="AX197" s="51"/>
      <c r="AY197" s="51"/>
      <c r="AZ197" s="51"/>
      <c r="BA197" s="51"/>
      <c r="BB197" s="51"/>
      <c r="BC197" s="51"/>
      <c r="BD197" s="51"/>
      <c r="BE197" s="51"/>
      <c r="BF197" s="51"/>
      <c r="BG197" s="51"/>
      <c r="BH197" s="51"/>
      <c r="BI197" s="51"/>
      <c r="BJ197" s="51"/>
      <c r="BK197" s="51"/>
      <c r="BL197" s="51"/>
      <c r="BM197" s="51"/>
    </row>
    <row r="198" spans="2:65" ht="19.5">
      <c r="B198" s="12" t="s">
        <v>91</v>
      </c>
      <c r="D198" s="108">
        <f>FyFx-FyFy</f>
        <v>-13.844411675325521</v>
      </c>
      <c r="E198" s="86" t="s">
        <v>60</v>
      </c>
      <c r="F198" s="56"/>
      <c r="G198" s="108">
        <f>0</f>
        <v>0</v>
      </c>
      <c r="H198" s="119"/>
      <c r="I198" s="4"/>
      <c r="J198" s="25"/>
      <c r="K198" s="25"/>
      <c r="L198" s="26"/>
      <c r="X198" s="56"/>
      <c r="Y198" s="56"/>
      <c r="AA198" s="56"/>
      <c r="AC198" s="51"/>
      <c r="AD198" s="51"/>
      <c r="AE198" s="51"/>
      <c r="AF198" s="51"/>
      <c r="AG198" s="51"/>
      <c r="AH198" s="51"/>
      <c r="AI198" s="51"/>
      <c r="AJ198" s="51"/>
      <c r="AK198" s="51"/>
      <c r="AL198" s="51"/>
      <c r="AM198" s="51"/>
      <c r="AN198" s="51"/>
      <c r="AO198" s="51"/>
      <c r="AP198" s="51"/>
      <c r="AQ198" s="51"/>
      <c r="AR198" s="51"/>
      <c r="AS198" s="51"/>
      <c r="AW198" s="51"/>
      <c r="AX198" s="51"/>
      <c r="AY198" s="51"/>
      <c r="AZ198" s="51"/>
      <c r="BA198" s="51"/>
      <c r="BB198" s="51"/>
      <c r="BC198" s="51"/>
      <c r="BD198" s="51"/>
      <c r="BE198" s="51"/>
      <c r="BF198" s="51"/>
      <c r="BG198" s="51"/>
      <c r="BH198" s="51"/>
      <c r="BI198" s="51"/>
      <c r="BJ198" s="51"/>
      <c r="BK198" s="51"/>
      <c r="BL198" s="51"/>
      <c r="BM198" s="51"/>
    </row>
    <row r="199" spans="2:65" ht="19.5">
      <c r="B199" s="12" t="s">
        <v>113</v>
      </c>
      <c r="D199" s="288">
        <f>Fzgravity+FzFx-FzFy</f>
        <v>-18.653140473607628</v>
      </c>
      <c r="E199" s="86" t="s">
        <v>111</v>
      </c>
      <c r="F199" s="56"/>
      <c r="G199" s="108">
        <f>Fzgravity-FzFx</f>
        <v>5.9808070575089101</v>
      </c>
      <c r="H199" s="119"/>
      <c r="I199" s="4"/>
      <c r="J199" s="25"/>
      <c r="K199" s="25"/>
      <c r="L199" s="26"/>
      <c r="X199" s="56"/>
      <c r="Y199" s="56"/>
      <c r="AA199" s="56"/>
      <c r="AC199" s="51"/>
      <c r="AD199" s="51"/>
      <c r="AE199" s="51"/>
      <c r="AF199" s="51"/>
      <c r="AG199" s="51"/>
      <c r="AH199" s="51"/>
      <c r="AI199" s="51"/>
      <c r="AJ199" s="51"/>
      <c r="AK199" s="51"/>
      <c r="AL199" s="51"/>
      <c r="AM199" s="51"/>
      <c r="AN199" s="51"/>
      <c r="AO199" s="51"/>
      <c r="AP199" s="51"/>
      <c r="AQ199" s="51"/>
      <c r="AR199" s="51"/>
      <c r="AS199" s="51"/>
      <c r="AW199" s="51"/>
      <c r="AX199" s="51"/>
      <c r="AY199" s="51"/>
      <c r="AZ199" s="51"/>
      <c r="BA199" s="51"/>
      <c r="BB199" s="51"/>
      <c r="BC199" s="51"/>
      <c r="BD199" s="51"/>
      <c r="BE199" s="51"/>
      <c r="BF199" s="51"/>
      <c r="BG199" s="51"/>
      <c r="BH199" s="51"/>
      <c r="BI199" s="51"/>
      <c r="BJ199" s="51"/>
      <c r="BK199" s="51"/>
      <c r="BL199" s="51"/>
      <c r="BM199" s="51"/>
    </row>
    <row r="200" spans="2:65" ht="15">
      <c r="B200" s="83" t="s">
        <v>385</v>
      </c>
      <c r="C200" s="93"/>
      <c r="D200" s="94"/>
      <c r="E200" s="84" t="s">
        <v>58</v>
      </c>
      <c r="F200" s="102"/>
      <c r="G200" s="110"/>
      <c r="H200" s="120"/>
      <c r="I200" s="4"/>
      <c r="J200" s="25"/>
      <c r="K200" s="25"/>
      <c r="L200" s="26"/>
      <c r="X200" s="56"/>
      <c r="Y200" s="56"/>
      <c r="AA200" s="56"/>
      <c r="AC200" s="51"/>
      <c r="AD200" s="51"/>
      <c r="AE200" s="51"/>
      <c r="AF200" s="51"/>
      <c r="AG200" s="51"/>
      <c r="AH200" s="51"/>
      <c r="AI200" s="51"/>
      <c r="AJ200" s="51"/>
      <c r="AK200" s="51"/>
      <c r="AL200" s="51"/>
      <c r="AM200" s="51"/>
      <c r="AN200" s="51"/>
      <c r="AO200" s="51"/>
      <c r="AP200" s="51"/>
      <c r="AQ200" s="51"/>
      <c r="AR200" s="51"/>
      <c r="AS200" s="51"/>
      <c r="AW200" s="51"/>
      <c r="AX200" s="51"/>
      <c r="AY200" s="51"/>
      <c r="AZ200" s="51"/>
      <c r="BA200" s="51"/>
      <c r="BB200" s="51"/>
      <c r="BC200" s="51"/>
      <c r="BD200" s="51"/>
      <c r="BE200" s="51"/>
      <c r="BF200" s="51"/>
      <c r="BG200" s="51"/>
      <c r="BH200" s="51"/>
      <c r="BI200" s="51"/>
      <c r="BJ200" s="51"/>
      <c r="BK200" s="51"/>
      <c r="BL200" s="51"/>
      <c r="BM200" s="51"/>
    </row>
    <row r="201" spans="2:65" ht="19.5">
      <c r="B201" s="12" t="s">
        <v>92</v>
      </c>
      <c r="C201" s="95"/>
      <c r="D201" s="108">
        <f>-FxFx-FxFy</f>
        <v>-49.749529028659225</v>
      </c>
      <c r="E201" s="86" t="s">
        <v>61</v>
      </c>
      <c r="F201" s="56"/>
      <c r="G201" s="108">
        <f>0</f>
        <v>0</v>
      </c>
      <c r="H201" s="119"/>
      <c r="J201" s="25"/>
      <c r="K201" s="25"/>
      <c r="L201" s="26"/>
      <c r="X201" s="56"/>
      <c r="Y201" s="56"/>
      <c r="AA201" s="56"/>
      <c r="AC201" s="51"/>
      <c r="AD201" s="51"/>
      <c r="AE201" s="51"/>
      <c r="AF201" s="51"/>
      <c r="AG201" s="51"/>
      <c r="AH201" s="51"/>
      <c r="AI201" s="51"/>
      <c r="AJ201" s="51"/>
      <c r="AK201" s="51"/>
      <c r="AL201" s="51"/>
      <c r="AM201" s="51"/>
      <c r="AN201" s="51"/>
      <c r="AO201" s="51"/>
      <c r="AP201" s="51"/>
      <c r="AQ201" s="51"/>
      <c r="AR201" s="51"/>
      <c r="AS201" s="51"/>
      <c r="AW201" s="51"/>
      <c r="AX201" s="51"/>
      <c r="AY201" s="51"/>
      <c r="AZ201" s="51"/>
      <c r="BA201" s="51"/>
      <c r="BB201" s="51"/>
      <c r="BC201" s="51"/>
      <c r="BD201" s="51"/>
      <c r="BE201" s="51"/>
      <c r="BF201" s="51"/>
      <c r="BG201" s="51"/>
      <c r="BH201" s="51"/>
      <c r="BI201" s="51"/>
      <c r="BJ201" s="51"/>
      <c r="BK201" s="51"/>
      <c r="BL201" s="51"/>
      <c r="BM201" s="51"/>
    </row>
    <row r="202" spans="2:65" ht="19.5">
      <c r="B202" s="12" t="s">
        <v>93</v>
      </c>
      <c r="C202" s="95"/>
      <c r="D202" s="108">
        <f>FyFx-FyFy</f>
        <v>-13.844411675325521</v>
      </c>
      <c r="E202" s="86" t="s">
        <v>62</v>
      </c>
      <c r="F202" s="56"/>
      <c r="G202" s="108">
        <f>0</f>
        <v>0</v>
      </c>
      <c r="H202" s="119"/>
      <c r="J202" s="25"/>
      <c r="K202" s="25"/>
      <c r="L202" s="26"/>
      <c r="X202" s="56"/>
      <c r="Y202" s="56"/>
      <c r="AA202" s="56"/>
      <c r="AC202" s="51"/>
      <c r="AD202" s="51"/>
      <c r="AE202" s="51"/>
      <c r="AF202" s="51"/>
      <c r="AG202" s="51"/>
      <c r="AH202" s="51"/>
      <c r="AI202" s="51"/>
      <c r="AJ202" s="51"/>
      <c r="AK202" s="51"/>
      <c r="AL202" s="51"/>
      <c r="AM202" s="51"/>
      <c r="AN202" s="51"/>
      <c r="AO202" s="51"/>
      <c r="AP202" s="51"/>
      <c r="AQ202" s="51"/>
      <c r="AR202" s="51"/>
      <c r="AS202" s="51"/>
      <c r="AW202" s="51"/>
      <c r="AX202" s="51"/>
      <c r="AY202" s="51"/>
      <c r="AZ202" s="51"/>
      <c r="BA202" s="51"/>
      <c r="BB202" s="51"/>
      <c r="BC202" s="51"/>
      <c r="BD202" s="51"/>
      <c r="BE202" s="51"/>
      <c r="BF202" s="51"/>
      <c r="BG202" s="51"/>
      <c r="BH202" s="51"/>
      <c r="BI202" s="51"/>
      <c r="BJ202" s="51"/>
      <c r="BK202" s="51"/>
      <c r="BL202" s="51"/>
      <c r="BM202" s="51"/>
    </row>
    <row r="203" spans="2:65" ht="19.5">
      <c r="B203" s="12" t="s">
        <v>114</v>
      </c>
      <c r="C203" s="56"/>
      <c r="D203" s="108">
        <f>Fzgravity+FzFx+FzFy</f>
        <v>35.631526358589809</v>
      </c>
      <c r="E203" s="86" t="s">
        <v>112</v>
      </c>
      <c r="F203" s="56"/>
      <c r="G203" s="108">
        <f>Fzgravity-FzFx</f>
        <v>5.9808070575089101</v>
      </c>
      <c r="H203" s="119"/>
      <c r="I203" s="190" t="s">
        <v>299</v>
      </c>
      <c r="J203" s="25"/>
      <c r="K203" s="25"/>
      <c r="L203" s="26"/>
      <c r="X203" s="56"/>
      <c r="Y203" s="56"/>
      <c r="AA203" s="56"/>
      <c r="AC203" s="51"/>
      <c r="AD203" s="51"/>
      <c r="AE203" s="51"/>
      <c r="AF203" s="51"/>
      <c r="AG203" s="51"/>
      <c r="AH203" s="51"/>
      <c r="AI203" s="51"/>
      <c r="AJ203" s="51"/>
      <c r="AK203" s="51"/>
      <c r="AL203" s="51"/>
      <c r="AM203" s="51"/>
      <c r="AN203" s="51"/>
      <c r="AO203" s="51"/>
      <c r="AP203" s="51"/>
      <c r="AQ203" s="51"/>
      <c r="AR203" s="51"/>
      <c r="AS203" s="51"/>
      <c r="AW203" s="51"/>
      <c r="AX203" s="51"/>
      <c r="AY203" s="51"/>
      <c r="AZ203" s="51"/>
      <c r="BA203" s="51"/>
      <c r="BB203" s="51"/>
      <c r="BC203" s="51"/>
      <c r="BD203" s="51"/>
      <c r="BE203" s="51"/>
      <c r="BF203" s="51"/>
      <c r="BG203" s="51"/>
      <c r="BH203" s="51"/>
      <c r="BI203" s="51"/>
      <c r="BJ203" s="51"/>
      <c r="BK203" s="51"/>
      <c r="BL203" s="51"/>
      <c r="BM203" s="51"/>
    </row>
    <row r="204" spans="2:65" ht="19.5">
      <c r="B204" s="12"/>
      <c r="C204" s="4"/>
      <c r="D204" s="109"/>
      <c r="E204" s="87"/>
      <c r="F204" s="69"/>
      <c r="G204" s="14"/>
      <c r="H204" s="14"/>
      <c r="I204" s="267" t="s">
        <v>289</v>
      </c>
      <c r="J204" s="25"/>
      <c r="K204" s="25"/>
      <c r="L204" s="26"/>
      <c r="X204" s="56"/>
      <c r="Y204" s="56"/>
      <c r="AA204" s="56"/>
      <c r="AC204" s="51"/>
      <c r="AD204" s="51"/>
      <c r="AE204" s="51"/>
      <c r="AF204" s="51"/>
      <c r="AG204" s="51"/>
      <c r="AH204" s="51"/>
      <c r="AI204" s="51"/>
      <c r="AJ204" s="51"/>
      <c r="AK204" s="51"/>
      <c r="AL204" s="51"/>
      <c r="AM204" s="51"/>
      <c r="AN204" s="51"/>
      <c r="AO204" s="51"/>
      <c r="AP204" s="51"/>
      <c r="AQ204" s="51"/>
      <c r="AR204" s="51"/>
      <c r="AS204" s="51"/>
      <c r="AW204" s="51"/>
      <c r="AX204" s="51"/>
      <c r="AY204" s="51"/>
      <c r="AZ204" s="51"/>
      <c r="BA204" s="51"/>
      <c r="BB204" s="51"/>
      <c r="BC204" s="51"/>
      <c r="BD204" s="51"/>
      <c r="BE204" s="51"/>
      <c r="BF204" s="51"/>
      <c r="BG204" s="51"/>
      <c r="BH204" s="51"/>
      <c r="BI204" s="51"/>
      <c r="BJ204" s="51"/>
      <c r="BK204" s="51"/>
      <c r="BL204" s="51"/>
      <c r="BM204" s="51"/>
    </row>
    <row r="205" spans="2:65" ht="19.5">
      <c r="B205" s="12"/>
      <c r="C205" s="4"/>
      <c r="D205" s="109"/>
      <c r="E205" s="87"/>
      <c r="F205" s="69"/>
      <c r="G205" s="14"/>
      <c r="H205" s="14"/>
      <c r="I205" s="267" t="s">
        <v>290</v>
      </c>
      <c r="J205" s="25"/>
      <c r="K205" s="25"/>
      <c r="L205" s="26"/>
      <c r="X205" s="56"/>
      <c r="Y205" s="56"/>
      <c r="AA205" s="56"/>
      <c r="AC205" s="51"/>
      <c r="AD205" s="51"/>
      <c r="AE205" s="51"/>
      <c r="AF205" s="51"/>
      <c r="AG205" s="51"/>
      <c r="AH205" s="51"/>
      <c r="AI205" s="51"/>
      <c r="AJ205" s="51"/>
      <c r="AK205" s="51"/>
      <c r="AL205" s="51"/>
      <c r="AM205" s="51"/>
      <c r="AN205" s="51"/>
      <c r="AO205" s="51"/>
      <c r="AP205" s="51"/>
      <c r="AQ205" s="51"/>
      <c r="AR205" s="51"/>
      <c r="AS205" s="51"/>
      <c r="AW205" s="51"/>
      <c r="AX205" s="51"/>
      <c r="AY205" s="51"/>
      <c r="AZ205" s="51"/>
      <c r="BA205" s="51"/>
      <c r="BB205" s="51"/>
      <c r="BC205" s="51"/>
      <c r="BD205" s="51"/>
      <c r="BE205" s="51"/>
      <c r="BF205" s="51"/>
      <c r="BG205" s="51"/>
      <c r="BH205" s="51"/>
      <c r="BI205" s="51"/>
      <c r="BJ205" s="51"/>
      <c r="BK205" s="51"/>
      <c r="BL205" s="51"/>
      <c r="BM205" s="51"/>
    </row>
    <row r="206" spans="2:65" ht="19.5">
      <c r="B206" s="13"/>
      <c r="C206" s="4"/>
      <c r="D206" s="4"/>
      <c r="E206" s="16"/>
      <c r="F206" s="30"/>
      <c r="G206" s="11"/>
      <c r="H206" s="11"/>
      <c r="I206" s="7" t="s">
        <v>291</v>
      </c>
      <c r="J206" s="34"/>
      <c r="K206" s="35"/>
      <c r="L206" s="15"/>
      <c r="X206" s="56"/>
      <c r="Y206" s="56"/>
      <c r="AA206" s="56"/>
      <c r="AC206" s="51"/>
      <c r="AD206" s="51"/>
      <c r="AE206" s="51"/>
      <c r="AF206" s="51"/>
      <c r="AG206" s="51"/>
      <c r="AH206" s="51"/>
      <c r="AI206" s="51"/>
      <c r="AJ206" s="51"/>
      <c r="AK206" s="51"/>
      <c r="AL206" s="51"/>
      <c r="AM206" s="51"/>
      <c r="AN206" s="51"/>
      <c r="AO206" s="51"/>
      <c r="AP206" s="51"/>
      <c r="AQ206" s="51"/>
      <c r="AR206" s="51"/>
      <c r="AS206" s="51"/>
      <c r="AW206" s="51"/>
      <c r="AX206" s="51"/>
      <c r="AY206" s="51"/>
      <c r="AZ206" s="51"/>
      <c r="BA206" s="51"/>
      <c r="BB206" s="51"/>
      <c r="BC206" s="51"/>
      <c r="BD206" s="51"/>
      <c r="BE206" s="51"/>
      <c r="BF206" s="51"/>
      <c r="BG206" s="51"/>
      <c r="BH206" s="51"/>
      <c r="BI206" s="51"/>
      <c r="BJ206" s="51"/>
      <c r="BK206" s="51"/>
      <c r="BL206" s="51"/>
      <c r="BM206" s="51"/>
    </row>
    <row r="207" spans="2:65" ht="15.75">
      <c r="B207" s="341" t="s">
        <v>212</v>
      </c>
      <c r="C207" s="342"/>
      <c r="D207" s="342"/>
      <c r="E207" s="342"/>
      <c r="F207" s="342"/>
      <c r="G207" s="342"/>
      <c r="H207" s="342"/>
      <c r="I207" s="342"/>
      <c r="J207" s="342"/>
      <c r="K207" s="342"/>
      <c r="L207" s="343"/>
      <c r="AC207" s="51"/>
      <c r="AD207" s="51"/>
      <c r="AE207" s="51"/>
      <c r="AF207" s="51"/>
      <c r="AG207" s="51"/>
      <c r="AH207" s="51"/>
      <c r="AI207" s="51"/>
      <c r="AJ207" s="51"/>
      <c r="AK207" s="51"/>
      <c r="AL207" s="51"/>
      <c r="AM207" s="51"/>
      <c r="AN207" s="51"/>
      <c r="AO207" s="51"/>
      <c r="AP207" s="51"/>
      <c r="AQ207" s="51"/>
      <c r="AR207" s="51"/>
      <c r="AS207" s="51"/>
      <c r="AW207" s="51"/>
      <c r="AX207" s="51"/>
      <c r="AY207" s="51"/>
      <c r="AZ207" s="51"/>
      <c r="BA207" s="51"/>
      <c r="BB207" s="51"/>
      <c r="BC207" s="51"/>
      <c r="BD207" s="51"/>
      <c r="BE207" s="51"/>
      <c r="BF207" s="51"/>
      <c r="BG207" s="51"/>
      <c r="BH207" s="51"/>
      <c r="BI207" s="51"/>
      <c r="BJ207" s="51"/>
      <c r="BK207" s="51"/>
      <c r="BL207" s="51"/>
      <c r="BM207" s="51"/>
    </row>
    <row r="208" spans="2:65" ht="15.75">
      <c r="B208" s="131"/>
      <c r="C208" s="132"/>
      <c r="D208" s="132"/>
      <c r="E208" s="132"/>
      <c r="F208" s="132"/>
      <c r="G208" s="132"/>
      <c r="H208" s="132"/>
      <c r="I208" s="132"/>
      <c r="J208" s="132"/>
      <c r="K208" s="132"/>
      <c r="L208" s="133"/>
      <c r="AC208" s="51"/>
      <c r="AD208" s="51"/>
      <c r="AE208" s="51"/>
      <c r="AF208" s="51"/>
      <c r="AG208" s="51"/>
      <c r="AH208" s="51"/>
      <c r="AI208" s="51"/>
      <c r="AJ208" s="51"/>
      <c r="AK208" s="51"/>
      <c r="AL208" s="51"/>
      <c r="AM208" s="51"/>
      <c r="AN208" s="51"/>
      <c r="AO208" s="51"/>
      <c r="AP208" s="51"/>
      <c r="AQ208" s="51"/>
      <c r="AR208" s="51"/>
      <c r="AS208" s="51"/>
      <c r="AW208" s="51"/>
      <c r="AX208" s="51"/>
      <c r="AY208" s="51"/>
      <c r="AZ208" s="51"/>
      <c r="BA208" s="51"/>
      <c r="BB208" s="51"/>
      <c r="BC208" s="51"/>
      <c r="BD208" s="51"/>
      <c r="BE208" s="51"/>
      <c r="BF208" s="51"/>
      <c r="BG208" s="51"/>
      <c r="BH208" s="51"/>
      <c r="BI208" s="51"/>
      <c r="BJ208" s="51"/>
      <c r="BK208" s="51"/>
      <c r="BL208" s="51"/>
      <c r="BM208" s="51"/>
    </row>
    <row r="209" spans="2:65" ht="15.75">
      <c r="B209" s="131"/>
      <c r="C209" s="132"/>
      <c r="D209" s="132"/>
      <c r="E209" s="132"/>
      <c r="F209" s="132"/>
      <c r="G209" s="132"/>
      <c r="H209" s="132"/>
      <c r="I209" s="132"/>
      <c r="J209" s="132"/>
      <c r="K209" s="132"/>
      <c r="L209" s="133"/>
      <c r="AC209" s="51"/>
      <c r="AD209" s="51"/>
      <c r="AE209" s="51"/>
      <c r="AF209" s="51"/>
      <c r="AG209" s="51"/>
      <c r="AH209" s="51"/>
      <c r="AI209" s="51"/>
      <c r="AJ209" s="51"/>
      <c r="AK209" s="51"/>
      <c r="AL209" s="51"/>
      <c r="AM209" s="51"/>
      <c r="AN209" s="51"/>
      <c r="AO209" s="51"/>
      <c r="AP209" s="51"/>
      <c r="AQ209" s="51"/>
      <c r="AR209" s="51"/>
      <c r="AS209" s="51"/>
      <c r="AW209" s="51"/>
      <c r="AX209" s="51"/>
      <c r="AY209" s="51"/>
      <c r="AZ209" s="51"/>
      <c r="BA209" s="51"/>
      <c r="BB209" s="51"/>
      <c r="BC209" s="51"/>
      <c r="BD209" s="51"/>
      <c r="BE209" s="51"/>
      <c r="BF209" s="51"/>
      <c r="BG209" s="51"/>
      <c r="BH209" s="51"/>
      <c r="BI209" s="51"/>
      <c r="BJ209" s="51"/>
      <c r="BK209" s="51"/>
      <c r="BL209" s="51"/>
      <c r="BM209" s="51"/>
    </row>
    <row r="210" spans="2:65" ht="15.75">
      <c r="B210" s="131"/>
      <c r="C210" s="132"/>
      <c r="D210" s="132"/>
      <c r="E210" s="132"/>
      <c r="F210" s="132"/>
      <c r="G210" s="132"/>
      <c r="H210" s="132"/>
      <c r="I210" s="132"/>
      <c r="J210" s="132"/>
      <c r="K210" s="132"/>
      <c r="L210" s="133"/>
      <c r="AC210" s="51"/>
      <c r="AD210" s="51"/>
      <c r="AE210" s="51"/>
      <c r="AF210" s="51"/>
      <c r="AG210" s="51"/>
      <c r="AH210" s="51"/>
      <c r="AI210" s="51"/>
      <c r="AJ210" s="51"/>
      <c r="AK210" s="51"/>
      <c r="AL210" s="51"/>
      <c r="AM210" s="51"/>
      <c r="AN210" s="51"/>
      <c r="AO210" s="51"/>
      <c r="AP210" s="51"/>
      <c r="AQ210" s="51"/>
      <c r="AR210" s="51"/>
      <c r="AS210" s="51"/>
      <c r="AW210" s="51"/>
      <c r="AX210" s="51"/>
      <c r="AY210" s="51"/>
      <c r="AZ210" s="51"/>
      <c r="BA210" s="51"/>
      <c r="BB210" s="51"/>
      <c r="BC210" s="51"/>
      <c r="BD210" s="51"/>
      <c r="BE210" s="51"/>
      <c r="BF210" s="51"/>
      <c r="BG210" s="51"/>
      <c r="BH210" s="51"/>
      <c r="BI210" s="51"/>
      <c r="BJ210" s="51"/>
      <c r="BK210" s="51"/>
      <c r="BL210" s="51"/>
      <c r="BM210" s="51"/>
    </row>
    <row r="211" spans="2:65" ht="15.75">
      <c r="B211" s="131"/>
      <c r="C211" s="132"/>
      <c r="D211" s="132"/>
      <c r="E211" s="132"/>
      <c r="F211" s="132"/>
      <c r="G211" s="132"/>
      <c r="H211" s="132"/>
      <c r="I211" s="132"/>
      <c r="J211" s="132"/>
      <c r="K211" s="132"/>
      <c r="L211" s="133"/>
      <c r="AC211" s="51"/>
      <c r="AD211" s="51"/>
      <c r="AE211" s="51"/>
      <c r="AF211" s="51"/>
      <c r="AG211" s="51"/>
      <c r="AH211" s="51"/>
      <c r="AI211" s="51"/>
      <c r="AJ211" s="51"/>
      <c r="AK211" s="51"/>
      <c r="AL211" s="51"/>
      <c r="AM211" s="51"/>
      <c r="AN211" s="51"/>
      <c r="AO211" s="51"/>
      <c r="AP211" s="51"/>
      <c r="AQ211" s="51"/>
      <c r="AR211" s="51"/>
      <c r="AS211" s="51"/>
      <c r="AW211" s="51"/>
      <c r="AX211" s="51"/>
      <c r="AY211" s="51"/>
      <c r="AZ211" s="51"/>
      <c r="BA211" s="51"/>
      <c r="BB211" s="51"/>
      <c r="BC211" s="51"/>
      <c r="BD211" s="51"/>
      <c r="BE211" s="51"/>
      <c r="BF211" s="51"/>
      <c r="BG211" s="51"/>
      <c r="BH211" s="51"/>
      <c r="BI211" s="51"/>
      <c r="BJ211" s="51"/>
      <c r="BK211" s="51"/>
      <c r="BL211" s="51"/>
      <c r="BM211" s="51"/>
    </row>
    <row r="212" spans="2:65" ht="15.75">
      <c r="B212" s="131"/>
      <c r="C212" s="132"/>
      <c r="D212" s="132"/>
      <c r="E212" s="132"/>
      <c r="F212" s="132"/>
      <c r="G212" s="132"/>
      <c r="H212" s="132"/>
      <c r="I212" s="132"/>
      <c r="J212" s="132"/>
      <c r="K212" s="132"/>
      <c r="L212" s="133"/>
      <c r="AC212" s="51"/>
      <c r="AD212" s="51"/>
      <c r="AE212" s="51"/>
      <c r="AF212" s="51"/>
      <c r="AG212" s="51"/>
      <c r="AH212" s="51"/>
      <c r="AI212" s="51"/>
      <c r="AJ212" s="51"/>
      <c r="AK212" s="51"/>
      <c r="AL212" s="51"/>
      <c r="AM212" s="51"/>
      <c r="AN212" s="51"/>
      <c r="AO212" s="51"/>
      <c r="AP212" s="51"/>
      <c r="AQ212" s="51"/>
      <c r="AR212" s="51"/>
      <c r="AS212" s="51"/>
      <c r="AW212" s="51"/>
      <c r="AX212" s="51"/>
      <c r="AY212" s="51"/>
      <c r="AZ212" s="51"/>
      <c r="BA212" s="51"/>
      <c r="BB212" s="51"/>
      <c r="BC212" s="51"/>
      <c r="BD212" s="51"/>
      <c r="BE212" s="51"/>
      <c r="BF212" s="51"/>
      <c r="BG212" s="51"/>
      <c r="BH212" s="51"/>
      <c r="BI212" s="51"/>
      <c r="BJ212" s="51"/>
      <c r="BK212" s="51"/>
      <c r="BL212" s="51"/>
      <c r="BM212" s="51"/>
    </row>
    <row r="213" spans="2:65" ht="15.75">
      <c r="B213" s="131"/>
      <c r="C213" s="132"/>
      <c r="D213" s="132"/>
      <c r="E213" s="132"/>
      <c r="F213" s="132"/>
      <c r="G213" s="132"/>
      <c r="H213" s="132"/>
      <c r="I213" s="132"/>
      <c r="J213" s="132"/>
      <c r="K213" s="132"/>
      <c r="L213" s="133"/>
      <c r="AC213" s="51"/>
      <c r="AD213" s="51"/>
      <c r="AE213" s="51"/>
      <c r="AF213" s="51"/>
      <c r="AG213" s="51"/>
      <c r="AH213" s="51"/>
      <c r="AI213" s="51"/>
      <c r="AJ213" s="51"/>
      <c r="AK213" s="51"/>
      <c r="AL213" s="51"/>
      <c r="AM213" s="51"/>
      <c r="AN213" s="51"/>
      <c r="AO213" s="51"/>
      <c r="AP213" s="51"/>
      <c r="AQ213" s="51"/>
      <c r="AR213" s="51"/>
      <c r="AS213" s="51"/>
      <c r="AW213" s="51"/>
      <c r="AX213" s="51"/>
      <c r="AY213" s="51"/>
      <c r="AZ213" s="51"/>
      <c r="BA213" s="51"/>
      <c r="BB213" s="51"/>
      <c r="BC213" s="51"/>
      <c r="BD213" s="51"/>
      <c r="BE213" s="51"/>
      <c r="BF213" s="51"/>
      <c r="BG213" s="51"/>
      <c r="BH213" s="51"/>
      <c r="BI213" s="51"/>
      <c r="BJ213" s="51"/>
      <c r="BK213" s="51"/>
      <c r="BL213" s="51"/>
      <c r="BM213" s="51"/>
    </row>
    <row r="214" spans="2:65" ht="15.75">
      <c r="B214" s="131"/>
      <c r="C214" s="132"/>
      <c r="D214" s="132"/>
      <c r="E214" s="132"/>
      <c r="F214" s="132"/>
      <c r="G214" s="132"/>
      <c r="H214" s="132"/>
      <c r="I214" s="132"/>
      <c r="J214" s="132"/>
      <c r="K214" s="132"/>
      <c r="L214" s="133"/>
      <c r="AC214" s="51"/>
      <c r="AD214" s="51"/>
      <c r="AE214" s="51"/>
      <c r="AF214" s="51"/>
      <c r="AG214" s="51"/>
      <c r="AH214" s="51"/>
      <c r="AI214" s="51"/>
      <c r="AJ214" s="51"/>
      <c r="AK214" s="51"/>
      <c r="AL214" s="51"/>
      <c r="AM214" s="51"/>
      <c r="AN214" s="51"/>
      <c r="AO214" s="51"/>
      <c r="AP214" s="51"/>
      <c r="AQ214" s="51"/>
      <c r="AR214" s="51"/>
      <c r="AS214" s="51"/>
      <c r="AW214" s="51"/>
      <c r="AX214" s="51"/>
      <c r="AY214" s="51"/>
      <c r="AZ214" s="51"/>
      <c r="BA214" s="51"/>
      <c r="BB214" s="51"/>
      <c r="BC214" s="51"/>
      <c r="BD214" s="51"/>
      <c r="BE214" s="51"/>
      <c r="BF214" s="51"/>
      <c r="BG214" s="51"/>
      <c r="BH214" s="51"/>
      <c r="BI214" s="51"/>
      <c r="BJ214" s="51"/>
      <c r="BK214" s="51"/>
      <c r="BL214" s="51"/>
      <c r="BM214" s="51"/>
    </row>
    <row r="215" spans="2:65" ht="15.75">
      <c r="B215" s="131"/>
      <c r="C215" s="132"/>
      <c r="D215" s="132"/>
      <c r="E215" s="132"/>
      <c r="F215" s="132"/>
      <c r="G215" s="132"/>
      <c r="H215" s="132"/>
      <c r="I215" s="132"/>
      <c r="J215" s="132"/>
      <c r="K215" s="132"/>
      <c r="L215" s="133"/>
      <c r="AC215" s="51"/>
      <c r="AD215" s="51"/>
      <c r="AE215" s="51"/>
      <c r="AF215" s="51"/>
      <c r="AG215" s="51"/>
      <c r="AH215" s="51"/>
      <c r="AI215" s="51"/>
      <c r="AJ215" s="51"/>
      <c r="AK215" s="51"/>
      <c r="AL215" s="51"/>
      <c r="AM215" s="51"/>
      <c r="AN215" s="51"/>
      <c r="AO215" s="51"/>
      <c r="AP215" s="51"/>
      <c r="AQ215" s="51"/>
      <c r="AR215" s="51"/>
      <c r="AS215" s="51"/>
      <c r="AW215" s="51"/>
      <c r="AX215" s="51"/>
      <c r="AY215" s="51"/>
      <c r="AZ215" s="51"/>
      <c r="BA215" s="51"/>
      <c r="BB215" s="51"/>
      <c r="BC215" s="51"/>
      <c r="BD215" s="51"/>
      <c r="BE215" s="51"/>
      <c r="BF215" s="51"/>
      <c r="BG215" s="51"/>
      <c r="BH215" s="51"/>
      <c r="BI215" s="51"/>
      <c r="BJ215" s="51"/>
      <c r="BK215" s="51"/>
      <c r="BL215" s="51"/>
      <c r="BM215" s="51"/>
    </row>
    <row r="216" spans="2:65" ht="15.75">
      <c r="B216" s="131"/>
      <c r="C216" s="132"/>
      <c r="D216" s="132"/>
      <c r="E216" s="132"/>
      <c r="F216" s="132"/>
      <c r="G216" s="132"/>
      <c r="H216" s="132"/>
      <c r="I216" s="132"/>
      <c r="J216" s="132"/>
      <c r="K216" s="132"/>
      <c r="L216" s="133"/>
      <c r="AC216" s="51"/>
      <c r="AD216" s="51"/>
      <c r="AE216" s="51"/>
      <c r="AF216" s="51"/>
      <c r="AG216" s="51"/>
      <c r="AH216" s="51"/>
      <c r="AI216" s="51"/>
      <c r="AJ216" s="51"/>
      <c r="AK216" s="51"/>
      <c r="AL216" s="51"/>
      <c r="AM216" s="51"/>
      <c r="AN216" s="51"/>
      <c r="AO216" s="51"/>
      <c r="AP216" s="51"/>
      <c r="AQ216" s="51"/>
      <c r="AR216" s="51"/>
      <c r="AS216" s="51"/>
      <c r="AW216" s="51"/>
      <c r="AX216" s="51"/>
      <c r="AY216" s="51"/>
      <c r="AZ216" s="51"/>
      <c r="BA216" s="51"/>
      <c r="BB216" s="51"/>
      <c r="BC216" s="51"/>
      <c r="BD216" s="51"/>
      <c r="BE216" s="51"/>
      <c r="BF216" s="51"/>
      <c r="BG216" s="51"/>
      <c r="BH216" s="51"/>
      <c r="BI216" s="51"/>
      <c r="BJ216" s="51"/>
      <c r="BK216" s="51"/>
      <c r="BL216" s="51"/>
      <c r="BM216" s="51"/>
    </row>
    <row r="217" spans="2:65" ht="15.75">
      <c r="B217" s="131"/>
      <c r="C217" s="132"/>
      <c r="D217" s="132"/>
      <c r="E217" s="132"/>
      <c r="F217" s="132"/>
      <c r="G217" s="132"/>
      <c r="H217" s="132"/>
      <c r="I217" s="132"/>
      <c r="J217" s="132"/>
      <c r="K217" s="132"/>
      <c r="L217" s="133"/>
      <c r="AC217" s="51"/>
      <c r="AD217" s="51"/>
      <c r="AE217" s="51"/>
      <c r="AF217" s="51"/>
      <c r="AG217" s="51"/>
      <c r="AH217" s="51"/>
      <c r="AI217" s="51"/>
      <c r="AJ217" s="51"/>
      <c r="AK217" s="51"/>
      <c r="AL217" s="51"/>
      <c r="AM217" s="51"/>
      <c r="AN217" s="51"/>
      <c r="AO217" s="51"/>
      <c r="AP217" s="51"/>
      <c r="AQ217" s="51"/>
      <c r="AR217" s="51"/>
      <c r="AS217" s="51"/>
      <c r="AW217" s="51"/>
      <c r="AX217" s="51"/>
      <c r="AY217" s="51"/>
      <c r="AZ217" s="51"/>
      <c r="BA217" s="51"/>
      <c r="BB217" s="51"/>
      <c r="BC217" s="51"/>
      <c r="BD217" s="51"/>
      <c r="BE217" s="51"/>
      <c r="BF217" s="51"/>
      <c r="BG217" s="51"/>
      <c r="BH217" s="51"/>
      <c r="BI217" s="51"/>
      <c r="BJ217" s="51"/>
      <c r="BK217" s="51"/>
      <c r="BL217" s="51"/>
      <c r="BM217" s="51"/>
    </row>
    <row r="218" spans="2:65" ht="15.75">
      <c r="B218" s="131"/>
      <c r="C218" s="132"/>
      <c r="D218" s="132"/>
      <c r="E218" s="132"/>
      <c r="F218" s="132"/>
      <c r="G218" s="132"/>
      <c r="H218" s="132"/>
      <c r="I218" s="132"/>
      <c r="J218" s="132"/>
      <c r="K218" s="132"/>
      <c r="L218" s="133"/>
      <c r="AC218" s="51"/>
      <c r="AD218" s="51"/>
      <c r="AE218" s="51"/>
      <c r="AF218" s="51"/>
      <c r="AG218" s="51"/>
      <c r="AH218" s="51"/>
      <c r="AI218" s="51"/>
      <c r="AJ218" s="51"/>
      <c r="AK218" s="51"/>
      <c r="AL218" s="51"/>
      <c r="AM218" s="51"/>
      <c r="AN218" s="51"/>
      <c r="AO218" s="51"/>
      <c r="AP218" s="51"/>
      <c r="AQ218" s="51"/>
      <c r="AR218" s="51"/>
      <c r="AS218" s="51"/>
      <c r="AW218" s="51"/>
      <c r="AX218" s="51"/>
      <c r="AY218" s="51"/>
      <c r="AZ218" s="51"/>
      <c r="BA218" s="51"/>
      <c r="BB218" s="51"/>
      <c r="BC218" s="51"/>
      <c r="BD218" s="51"/>
      <c r="BE218" s="51"/>
      <c r="BF218" s="51"/>
      <c r="BG218" s="51"/>
      <c r="BH218" s="51"/>
      <c r="BI218" s="51"/>
      <c r="BJ218" s="51"/>
      <c r="BK218" s="51"/>
      <c r="BL218" s="51"/>
      <c r="BM218" s="51"/>
    </row>
    <row r="219" spans="2:65" ht="15.75">
      <c r="B219" s="131"/>
      <c r="C219" s="132"/>
      <c r="D219" s="132"/>
      <c r="E219" s="132"/>
      <c r="F219" s="132"/>
      <c r="G219" s="132"/>
      <c r="H219" s="132"/>
      <c r="I219" s="132"/>
      <c r="J219" s="132"/>
      <c r="K219" s="132"/>
      <c r="L219" s="133"/>
      <c r="AC219" s="51"/>
      <c r="AD219" s="51"/>
      <c r="AE219" s="51"/>
      <c r="AF219" s="51"/>
      <c r="AG219" s="51"/>
      <c r="AH219" s="51"/>
      <c r="AI219" s="51"/>
      <c r="AJ219" s="51"/>
      <c r="AK219" s="51"/>
      <c r="AL219" s="51"/>
      <c r="AM219" s="51"/>
      <c r="AN219" s="51"/>
      <c r="AO219" s="51"/>
      <c r="AP219" s="51"/>
      <c r="AQ219" s="51"/>
      <c r="AR219" s="51"/>
      <c r="AS219" s="51"/>
      <c r="AW219" s="51"/>
      <c r="AX219" s="51"/>
      <c r="AY219" s="51"/>
      <c r="AZ219" s="51"/>
      <c r="BA219" s="51"/>
      <c r="BB219" s="51"/>
      <c r="BC219" s="51"/>
      <c r="BD219" s="51"/>
      <c r="BE219" s="51"/>
      <c r="BF219" s="51"/>
      <c r="BG219" s="51"/>
      <c r="BH219" s="51"/>
      <c r="BI219" s="51"/>
      <c r="BJ219" s="51"/>
      <c r="BK219" s="51"/>
      <c r="BL219" s="51"/>
      <c r="BM219" s="51"/>
    </row>
    <row r="220" spans="2:65" ht="15.75">
      <c r="B220" s="131"/>
      <c r="C220" s="132"/>
      <c r="D220" s="132"/>
      <c r="E220" s="132"/>
      <c r="F220" s="132"/>
      <c r="G220" s="132"/>
      <c r="H220" s="132"/>
      <c r="I220" s="132"/>
      <c r="J220" s="132"/>
      <c r="K220" s="132"/>
      <c r="L220" s="133"/>
      <c r="AC220" s="51"/>
      <c r="AD220" s="51"/>
      <c r="AE220" s="51"/>
      <c r="AF220" s="51"/>
      <c r="AG220" s="51"/>
      <c r="AH220" s="51"/>
      <c r="AI220" s="51"/>
      <c r="AJ220" s="51"/>
      <c r="AK220" s="51"/>
      <c r="AL220" s="51"/>
      <c r="AM220" s="51"/>
      <c r="AN220" s="51"/>
      <c r="AO220" s="51"/>
      <c r="AP220" s="51"/>
      <c r="AQ220" s="51"/>
      <c r="AR220" s="51"/>
      <c r="AS220" s="51"/>
      <c r="AW220" s="51"/>
      <c r="AX220" s="51"/>
      <c r="AY220" s="51"/>
      <c r="AZ220" s="51"/>
      <c r="BA220" s="51"/>
      <c r="BB220" s="51"/>
      <c r="BC220" s="51"/>
      <c r="BD220" s="51"/>
      <c r="BE220" s="51"/>
      <c r="BF220" s="51"/>
      <c r="BG220" s="51"/>
      <c r="BH220" s="51"/>
      <c r="BI220" s="51"/>
      <c r="BJ220" s="51"/>
      <c r="BK220" s="51"/>
      <c r="BL220" s="51"/>
      <c r="BM220" s="51"/>
    </row>
    <row r="221" spans="2:65" ht="15.75">
      <c r="B221" s="131"/>
      <c r="C221" s="132"/>
      <c r="D221" s="132"/>
      <c r="E221" s="132"/>
      <c r="F221" s="132"/>
      <c r="G221" s="132"/>
      <c r="H221" s="132"/>
      <c r="I221" s="132"/>
      <c r="J221" s="132"/>
      <c r="K221" s="132"/>
      <c r="L221" s="133"/>
      <c r="AC221" s="51"/>
      <c r="AD221" s="51"/>
      <c r="AE221" s="51"/>
      <c r="AF221" s="51"/>
      <c r="AG221" s="51"/>
      <c r="AH221" s="51"/>
      <c r="AI221" s="51"/>
      <c r="AJ221" s="51"/>
      <c r="AK221" s="51"/>
      <c r="AL221" s="51"/>
      <c r="AM221" s="51"/>
      <c r="AN221" s="51"/>
      <c r="AO221" s="51"/>
      <c r="AP221" s="51"/>
      <c r="AQ221" s="51"/>
      <c r="AR221" s="51"/>
      <c r="AS221" s="51"/>
      <c r="AW221" s="51"/>
      <c r="AX221" s="51"/>
      <c r="AY221" s="51"/>
      <c r="AZ221" s="51"/>
      <c r="BA221" s="51"/>
      <c r="BB221" s="51"/>
      <c r="BC221" s="51"/>
      <c r="BD221" s="51"/>
      <c r="BE221" s="51"/>
      <c r="BF221" s="51"/>
      <c r="BG221" s="51"/>
      <c r="BH221" s="51"/>
      <c r="BI221" s="51"/>
      <c r="BJ221" s="51"/>
      <c r="BK221" s="51"/>
      <c r="BL221" s="51"/>
      <c r="BM221" s="51"/>
    </row>
    <row r="222" spans="2:65" ht="16.5" thickBot="1">
      <c r="B222" s="319" t="s">
        <v>360</v>
      </c>
      <c r="C222" s="320"/>
      <c r="D222" s="320"/>
      <c r="E222" s="339" t="s">
        <v>135</v>
      </c>
      <c r="F222" s="339"/>
      <c r="G222" s="314"/>
      <c r="H222" s="315"/>
      <c r="I222" s="316" t="s">
        <v>122</v>
      </c>
      <c r="J222" s="315"/>
      <c r="K222" s="315"/>
      <c r="L222" s="133"/>
      <c r="AC222" s="51"/>
      <c r="AD222" s="51"/>
      <c r="AE222" s="51"/>
      <c r="AF222" s="51"/>
      <c r="AG222" s="51"/>
      <c r="AH222" s="51"/>
      <c r="AI222" s="51"/>
      <c r="AJ222" s="51"/>
      <c r="AK222" s="51"/>
      <c r="AL222" s="51"/>
      <c r="AM222" s="51"/>
      <c r="AN222" s="51"/>
      <c r="AO222" s="51"/>
      <c r="AP222" s="51"/>
      <c r="AQ222" s="51"/>
      <c r="AR222" s="51"/>
      <c r="AS222" s="51"/>
      <c r="AW222" s="51"/>
      <c r="AX222" s="51"/>
      <c r="AY222" s="51"/>
      <c r="AZ222" s="51"/>
      <c r="BA222" s="51"/>
      <c r="BB222" s="51"/>
      <c r="BC222" s="51"/>
      <c r="BD222" s="51"/>
      <c r="BE222" s="51"/>
      <c r="BF222" s="51"/>
      <c r="BG222" s="51"/>
      <c r="BH222" s="51"/>
      <c r="BI222" s="51"/>
      <c r="BJ222" s="51"/>
      <c r="BK222" s="51"/>
      <c r="BL222" s="51"/>
      <c r="BM222" s="51"/>
    </row>
    <row r="223" spans="2:65" ht="15.75">
      <c r="B223" s="310" t="s">
        <v>361</v>
      </c>
      <c r="C223" s="23"/>
      <c r="D223" s="22"/>
      <c r="E223" s="10"/>
      <c r="F223" s="17"/>
      <c r="G223" s="293"/>
      <c r="L223" s="15"/>
      <c r="AA223" s="56"/>
      <c r="AC223" s="51"/>
      <c r="AD223" s="51"/>
      <c r="AE223" s="51"/>
      <c r="AF223" s="51"/>
      <c r="AG223" s="51"/>
      <c r="AH223" s="51"/>
      <c r="AI223" s="51"/>
      <c r="AJ223" s="51"/>
      <c r="AK223" s="51"/>
      <c r="AL223" s="51"/>
      <c r="AM223" s="51"/>
      <c r="AN223" s="51"/>
      <c r="AO223" s="51"/>
      <c r="AP223" s="51"/>
      <c r="AQ223" s="51"/>
      <c r="AR223" s="51"/>
      <c r="AS223" s="51"/>
      <c r="AW223" s="51"/>
      <c r="AX223" s="51"/>
      <c r="AY223" s="51"/>
      <c r="AZ223" s="51"/>
      <c r="BA223" s="51"/>
      <c r="BB223" s="51"/>
      <c r="BC223" s="51"/>
      <c r="BD223" s="51"/>
      <c r="BE223" s="51"/>
      <c r="BF223" s="51"/>
      <c r="BG223" s="51"/>
      <c r="BH223" s="51"/>
      <c r="BI223" s="51"/>
      <c r="BJ223" s="51"/>
      <c r="BK223" s="51"/>
      <c r="BL223" s="51"/>
      <c r="BM223" s="51"/>
    </row>
    <row r="224" spans="2:65" ht="19.5">
      <c r="B224" s="72"/>
      <c r="C224" s="71"/>
      <c r="D224" s="313" t="s">
        <v>321</v>
      </c>
      <c r="E224" s="10" t="str">
        <f>QTot.One.Flight.ALS&amp;"kN / 2  ∙ 2="</f>
        <v>28,94kN / 2  ∙ 2=</v>
      </c>
      <c r="F224" s="17">
        <f>ROUNDDOWN((QTot.One.Flight.ALS)/2*2,2)</f>
        <v>28.94</v>
      </c>
      <c r="G224" s="135"/>
      <c r="H224" s="25" t="s">
        <v>319</v>
      </c>
      <c r="I224" s="4"/>
      <c r="J224" s="10" t="str">
        <f>QTot.One.Flight.ULS&amp;"kN / 2  ∙ 2 ="</f>
        <v>41,74kN / 2  ∙ 2 =</v>
      </c>
      <c r="K224" s="17">
        <f>ROUNDDOWN((QTot.One.Flight.ULS)/2*2,2)</f>
        <v>41.74</v>
      </c>
      <c r="L224" s="15"/>
      <c r="X224" s="56"/>
      <c r="Y224" s="56"/>
      <c r="AA224" s="56"/>
      <c r="AC224" s="51"/>
      <c r="AD224" s="51"/>
      <c r="AE224" s="51"/>
      <c r="AF224" s="51"/>
      <c r="AG224" s="51"/>
      <c r="AH224" s="51"/>
      <c r="AI224" s="51"/>
      <c r="AJ224" s="51"/>
      <c r="AK224" s="51"/>
      <c r="AL224" s="51"/>
      <c r="AM224" s="51"/>
      <c r="AN224" s="51"/>
      <c r="AO224" s="51"/>
      <c r="AP224" s="51"/>
      <c r="AQ224" s="51"/>
      <c r="AR224" s="51"/>
      <c r="AS224" s="51"/>
      <c r="AW224" s="51"/>
      <c r="AX224" s="51"/>
      <c r="AY224" s="51"/>
      <c r="AZ224" s="51"/>
      <c r="BA224" s="51"/>
      <c r="BB224" s="51"/>
      <c r="BC224" s="51"/>
      <c r="BD224" s="51"/>
      <c r="BE224" s="51"/>
      <c r="BF224" s="51"/>
      <c r="BG224" s="51"/>
      <c r="BH224" s="51"/>
      <c r="BI224" s="51"/>
      <c r="BJ224" s="51"/>
      <c r="BK224" s="51"/>
      <c r="BL224" s="51"/>
      <c r="BM224" s="51"/>
    </row>
    <row r="225" spans="2:65" ht="15.75">
      <c r="B225" s="311" t="s">
        <v>362</v>
      </c>
      <c r="C225" s="71"/>
      <c r="D225" s="278"/>
      <c r="E225" s="277"/>
      <c r="F225" s="17"/>
      <c r="G225" s="135"/>
      <c r="H225" s="23"/>
      <c r="I225" s="136"/>
      <c r="J225" s="17"/>
      <c r="K225" s="4"/>
      <c r="L225" s="15"/>
      <c r="X225" s="56"/>
      <c r="Y225" s="56"/>
      <c r="AA225" s="56"/>
      <c r="AC225" s="51"/>
      <c r="AD225" s="51"/>
      <c r="AE225" s="51"/>
      <c r="AF225" s="51"/>
      <c r="AG225" s="51"/>
      <c r="AH225" s="51"/>
      <c r="AI225" s="51"/>
      <c r="AJ225" s="51"/>
      <c r="AK225" s="51"/>
      <c r="AL225" s="51"/>
      <c r="AM225" s="51"/>
      <c r="AN225" s="51"/>
      <c r="AO225" s="51"/>
      <c r="AP225" s="51"/>
      <c r="AQ225" s="51"/>
      <c r="AR225" s="51"/>
      <c r="AS225" s="51"/>
      <c r="AW225" s="51"/>
      <c r="AX225" s="51"/>
      <c r="AY225" s="51"/>
      <c r="AZ225" s="51"/>
      <c r="BA225" s="51"/>
      <c r="BB225" s="51"/>
      <c r="BC225" s="51"/>
      <c r="BD225" s="51"/>
      <c r="BE225" s="51"/>
      <c r="BF225" s="51"/>
      <c r="BG225" s="51"/>
      <c r="BH225" s="51"/>
      <c r="BI225" s="51"/>
      <c r="BJ225" s="51"/>
      <c r="BK225" s="51"/>
      <c r="BL225" s="51"/>
      <c r="BM225" s="51"/>
    </row>
    <row r="226" spans="2:65" ht="15">
      <c r="B226" s="295" t="s">
        <v>318</v>
      </c>
      <c r="C226" s="4"/>
      <c r="D226" s="4"/>
      <c r="E226" s="4"/>
      <c r="F226" s="176"/>
      <c r="G226" s="135"/>
      <c r="I226" s="11"/>
      <c r="J226" s="34"/>
      <c r="K226" s="35"/>
      <c r="L226" s="15"/>
      <c r="X226" s="56"/>
      <c r="Y226" s="56"/>
      <c r="AA226" s="56"/>
      <c r="AC226" s="51"/>
      <c r="AD226" s="51"/>
      <c r="AE226" s="51"/>
      <c r="AF226" s="51"/>
      <c r="AG226" s="51"/>
      <c r="AH226" s="51"/>
      <c r="AI226" s="51"/>
      <c r="AJ226" s="51"/>
      <c r="AK226" s="51"/>
      <c r="AL226" s="51"/>
      <c r="AM226" s="51"/>
      <c r="AN226" s="51"/>
      <c r="AO226" s="51"/>
      <c r="AP226" s="51"/>
      <c r="AQ226" s="51"/>
      <c r="AR226" s="51"/>
      <c r="AS226" s="51"/>
      <c r="AW226" s="51"/>
      <c r="AX226" s="51"/>
      <c r="AY226" s="51"/>
      <c r="AZ226" s="51"/>
      <c r="BA226" s="51"/>
      <c r="BB226" s="51"/>
      <c r="BC226" s="51"/>
      <c r="BD226" s="51"/>
      <c r="BE226" s="51"/>
      <c r="BF226" s="51"/>
      <c r="BG226" s="51"/>
      <c r="BH226" s="51"/>
      <c r="BI226" s="51"/>
      <c r="BJ226" s="51"/>
      <c r="BK226" s="51"/>
      <c r="BL226" s="51"/>
      <c r="BM226" s="51"/>
    </row>
    <row r="227" spans="2:65" ht="19.5">
      <c r="B227" s="72" t="s">
        <v>330</v>
      </c>
      <c r="D227" s="278"/>
      <c r="E227" s="136" t="str">
        <f>""&amp;ROUND(VEd1z.ax,2)&amp;"kN +"&amp;ROUND(VEd2z.ax,2)&amp;"kN +"&amp;ROUND(VEd3z.ax,2)&amp;"kN +"&amp;ROUND(VEd4z.ax,2)&amp;"kN ="</f>
        <v>11,55kN +11,55kN +11,55kN +11,55kN =</v>
      </c>
      <c r="F227" s="289">
        <f>ROUND((VEd1z.ax+VEd2z.ax+VEd3z.ax+VEd4z.ax),2)</f>
        <v>46.19</v>
      </c>
      <c r="G227" s="11"/>
      <c r="I227" s="11"/>
      <c r="J227" s="34"/>
      <c r="K227" s="35"/>
      <c r="L227" s="15"/>
      <c r="X227" s="56"/>
      <c r="Y227" s="56"/>
      <c r="AA227" s="56"/>
      <c r="AC227" s="51"/>
      <c r="AD227" s="51"/>
      <c r="AE227" s="51"/>
      <c r="AF227" s="51"/>
      <c r="AG227" s="51"/>
      <c r="AH227" s="51"/>
      <c r="AI227" s="51"/>
      <c r="AJ227" s="51"/>
      <c r="AK227" s="51"/>
      <c r="AL227" s="51"/>
      <c r="AM227" s="51"/>
      <c r="AN227" s="51"/>
      <c r="AO227" s="51"/>
      <c r="AP227" s="51"/>
      <c r="AQ227" s="51"/>
      <c r="AR227" s="51"/>
      <c r="AS227" s="51"/>
      <c r="AW227" s="51"/>
      <c r="AX227" s="51"/>
      <c r="AY227" s="51"/>
      <c r="AZ227" s="51"/>
      <c r="BA227" s="51"/>
      <c r="BB227" s="51"/>
      <c r="BC227" s="51"/>
      <c r="BD227" s="51"/>
      <c r="BE227" s="51"/>
      <c r="BF227" s="51"/>
      <c r="BG227" s="51"/>
      <c r="BH227" s="51"/>
      <c r="BI227" s="51"/>
      <c r="BJ227" s="51"/>
      <c r="BK227" s="51"/>
      <c r="BL227" s="51"/>
      <c r="BM227" s="51"/>
    </row>
    <row r="228" spans="2:65" ht="19.5">
      <c r="B228" s="72" t="s">
        <v>334</v>
      </c>
      <c r="G228" s="135"/>
      <c r="I228" s="11"/>
      <c r="J228" s="34"/>
      <c r="K228" s="35"/>
      <c r="L228" s="15"/>
      <c r="X228" s="56"/>
      <c r="Y228" s="56"/>
      <c r="AA228" s="56"/>
      <c r="AC228" s="51"/>
      <c r="AD228" s="51"/>
      <c r="AE228" s="51"/>
      <c r="AF228" s="51"/>
      <c r="AG228" s="51"/>
      <c r="AH228" s="51"/>
      <c r="AI228" s="51"/>
      <c r="AJ228" s="51"/>
      <c r="AK228" s="51"/>
      <c r="AL228" s="51"/>
      <c r="AM228" s="51"/>
      <c r="AN228" s="51"/>
      <c r="AO228" s="51"/>
      <c r="AP228" s="51"/>
      <c r="AQ228" s="51"/>
      <c r="AR228" s="51"/>
      <c r="AS228" s="51"/>
      <c r="AW228" s="51"/>
      <c r="AX228" s="51"/>
      <c r="AY228" s="51"/>
      <c r="AZ228" s="51"/>
      <c r="BA228" s="51"/>
      <c r="BB228" s="51"/>
      <c r="BC228" s="51"/>
      <c r="BD228" s="51"/>
      <c r="BE228" s="51"/>
      <c r="BF228" s="51"/>
      <c r="BG228" s="51"/>
      <c r="BH228" s="51"/>
      <c r="BI228" s="51"/>
      <c r="BJ228" s="51"/>
      <c r="BK228" s="51"/>
      <c r="BL228" s="51"/>
      <c r="BM228" s="51"/>
    </row>
    <row r="229" spans="2:65" ht="15">
      <c r="B229" s="72" t="str">
        <f>"[("&amp;ROUND(VEd3z.ax,2)&amp;"kN ∙ "&amp;K/1000&amp;"m +"&amp;ROUND(VEd4z.ax,2)&amp;"kN ∙ ("&amp;D&amp;"-"&amp;K/1000&amp;")m+"&amp;ROUND(VEd1z.ax,2)&amp;"kN ∙ ("&amp;A&amp;"-"&amp;D&amp;"+"&amp;K/1000&amp;")m+"&amp;ROUND(VEd2z.ax,2) &amp;"kN ∙ ("&amp;A&amp;"-"&amp;K/1000&amp;")m]/"&amp;A&amp;"m ="</f>
        <v>[(11,55kN ∙ 0,22m +11,55kN ∙ (1,2-0,22)m+11,55kN ∙ (2,6-1,2+0,22)m+11,55kN ∙ (2,6-0,22)m]/2,6m =</v>
      </c>
      <c r="C229" s="277"/>
      <c r="D229" s="283"/>
      <c r="E229" s="276"/>
      <c r="F229" s="289">
        <f>ROUND(((VEd3z.ax*K/1000+VEd4z.ax*(D-K/1000)+VEd1z.ax*(A-D+K/1000)+VEd2z.ax*(A-K/1000))/A),2)</f>
        <v>23.09</v>
      </c>
      <c r="G229" s="135"/>
      <c r="I229" s="11"/>
      <c r="J229" s="34"/>
      <c r="K229" s="35"/>
      <c r="L229" s="15"/>
      <c r="X229" s="56"/>
      <c r="Y229" s="56"/>
      <c r="AA229" s="56"/>
      <c r="AC229" s="51"/>
      <c r="AD229" s="51"/>
      <c r="AE229" s="51"/>
      <c r="AF229" s="51"/>
      <c r="AG229" s="51"/>
      <c r="AH229" s="51"/>
      <c r="AI229" s="51"/>
      <c r="AJ229" s="51"/>
      <c r="AK229" s="51"/>
      <c r="AL229" s="51"/>
      <c r="AM229" s="51"/>
      <c r="AN229" s="51"/>
      <c r="AO229" s="51"/>
      <c r="AP229" s="51"/>
      <c r="AQ229" s="51"/>
      <c r="AR229" s="51"/>
      <c r="AS229" s="51"/>
      <c r="AW229" s="51"/>
      <c r="AX229" s="51"/>
      <c r="AY229" s="51"/>
      <c r="AZ229" s="51"/>
      <c r="BA229" s="51"/>
      <c r="BB229" s="51"/>
      <c r="BC229" s="51"/>
      <c r="BD229" s="51"/>
      <c r="BE229" s="51"/>
      <c r="BF229" s="51"/>
      <c r="BG229" s="51"/>
      <c r="BH229" s="51"/>
      <c r="BI229" s="51"/>
      <c r="BJ229" s="51"/>
      <c r="BK229" s="51"/>
      <c r="BL229" s="51"/>
      <c r="BM229" s="51"/>
    </row>
    <row r="230" spans="2:65" ht="15">
      <c r="B230" s="295" t="s">
        <v>317</v>
      </c>
      <c r="C230" s="4"/>
      <c r="D230" s="4"/>
      <c r="E230" s="4"/>
      <c r="F230" s="4"/>
      <c r="G230" s="135"/>
      <c r="I230" s="11"/>
      <c r="J230" s="34"/>
      <c r="K230" s="35"/>
      <c r="L230" s="15"/>
      <c r="X230" s="56"/>
      <c r="Y230" s="56"/>
      <c r="AA230" s="56"/>
      <c r="AC230" s="51"/>
      <c r="AD230" s="51"/>
      <c r="AE230" s="51"/>
      <c r="AF230" s="51"/>
      <c r="AG230" s="51"/>
      <c r="AH230" s="51"/>
      <c r="AI230" s="51"/>
      <c r="AJ230" s="51"/>
      <c r="AK230" s="51"/>
      <c r="AL230" s="51"/>
      <c r="AM230" s="51"/>
      <c r="AN230" s="51"/>
      <c r="AO230" s="51"/>
      <c r="AP230" s="51"/>
      <c r="AQ230" s="51"/>
      <c r="AR230" s="51"/>
      <c r="AS230" s="51"/>
      <c r="AW230" s="51"/>
      <c r="AX230" s="51"/>
      <c r="AY230" s="51"/>
      <c r="AZ230" s="51"/>
      <c r="BA230" s="51"/>
      <c r="BB230" s="51"/>
      <c r="BC230" s="51"/>
      <c r="BD230" s="51"/>
      <c r="BE230" s="51"/>
      <c r="BF230" s="51"/>
      <c r="BG230" s="51"/>
      <c r="BH230" s="51"/>
      <c r="BI230" s="51"/>
      <c r="BJ230" s="51"/>
      <c r="BK230" s="51"/>
      <c r="BL230" s="51"/>
      <c r="BM230" s="51"/>
    </row>
    <row r="231" spans="2:65" ht="19.5">
      <c r="B231" s="72" t="s">
        <v>331</v>
      </c>
      <c r="D231" s="278"/>
      <c r="E231" s="136" t="str">
        <f>""&amp;ROUND(VEd1z.ay,2)&amp;"kN +"&amp;ROUND(VEd2z.ay,2)&amp;"kN +"&amp;ROUND(VEd3z.ay,2)&amp;"kN+"&amp;ROUND(VEd4z.ay,2)&amp;"kN ="</f>
        <v>-21,13kN +35,6kN +7,24kN+7,24kN =</v>
      </c>
      <c r="F231" s="17">
        <f>ROUND((VEd1z.ay+VEd2z.ay+VEd3z.ay+VEd4z.ay),2)</f>
        <v>28.94</v>
      </c>
      <c r="G231" s="135"/>
      <c r="I231" s="11"/>
      <c r="J231" s="34"/>
      <c r="K231" s="35"/>
      <c r="L231" s="15"/>
      <c r="X231" s="56"/>
      <c r="Y231" s="56"/>
      <c r="AA231" s="56"/>
      <c r="AC231" s="51"/>
      <c r="AD231" s="51"/>
      <c r="AE231" s="51"/>
      <c r="AF231" s="51"/>
      <c r="AG231" s="51"/>
      <c r="AH231" s="51"/>
      <c r="AI231" s="51"/>
      <c r="AJ231" s="51"/>
      <c r="AK231" s="51"/>
      <c r="AL231" s="51"/>
      <c r="AM231" s="51"/>
      <c r="AN231" s="51"/>
      <c r="AO231" s="51"/>
      <c r="AP231" s="51"/>
      <c r="AQ231" s="51"/>
      <c r="AR231" s="51"/>
      <c r="AS231" s="51"/>
      <c r="AW231" s="51"/>
      <c r="AX231" s="51"/>
      <c r="AY231" s="51"/>
      <c r="AZ231" s="51"/>
      <c r="BA231" s="51"/>
      <c r="BB231" s="51"/>
      <c r="BC231" s="51"/>
      <c r="BD231" s="51"/>
      <c r="BE231" s="51"/>
      <c r="BF231" s="51"/>
      <c r="BG231" s="51"/>
      <c r="BH231" s="51"/>
      <c r="BI231" s="51"/>
      <c r="BJ231" s="51"/>
      <c r="BK231" s="51"/>
      <c r="BL231" s="51"/>
      <c r="BM231" s="51"/>
    </row>
    <row r="232" spans="2:65" ht="15">
      <c r="B232" s="12" t="s">
        <v>333</v>
      </c>
      <c r="D232" s="23"/>
      <c r="E232" s="56"/>
      <c r="G232" s="135"/>
      <c r="I232" s="11"/>
      <c r="J232" s="34"/>
      <c r="K232" s="35"/>
      <c r="L232" s="15"/>
      <c r="X232" s="56"/>
      <c r="Y232" s="56"/>
      <c r="AA232" s="56"/>
      <c r="AC232" s="51"/>
      <c r="AD232" s="51"/>
      <c r="AE232" s="51"/>
      <c r="AF232" s="51"/>
      <c r="AG232" s="51"/>
      <c r="AH232" s="51"/>
      <c r="AI232" s="51"/>
      <c r="AJ232" s="51"/>
      <c r="AK232" s="51"/>
      <c r="AL232" s="51"/>
      <c r="AM232" s="51"/>
      <c r="AN232" s="51"/>
      <c r="AO232" s="51"/>
      <c r="AP232" s="51"/>
      <c r="AQ232" s="51"/>
      <c r="AR232" s="51"/>
      <c r="AS232" s="51"/>
      <c r="AW232" s="51"/>
      <c r="AX232" s="51"/>
      <c r="AY232" s="51"/>
      <c r="AZ232" s="51"/>
      <c r="BA232" s="51"/>
      <c r="BB232" s="51"/>
      <c r="BC232" s="51"/>
      <c r="BD232" s="51"/>
      <c r="BE232" s="51"/>
      <c r="BF232" s="51"/>
      <c r="BG232" s="51"/>
      <c r="BH232" s="51"/>
      <c r="BI232" s="51"/>
      <c r="BJ232" s="51"/>
      <c r="BK232" s="51"/>
      <c r="BL232" s="51"/>
      <c r="BM232" s="51"/>
    </row>
    <row r="233" spans="2:65" ht="19.5">
      <c r="B233" s="72" t="s">
        <v>332</v>
      </c>
      <c r="G233" s="135"/>
      <c r="H233" s="23"/>
      <c r="L233" s="15"/>
      <c r="X233" s="56"/>
      <c r="Y233" s="56"/>
      <c r="AA233" s="56"/>
      <c r="AC233" s="51"/>
      <c r="AD233" s="51"/>
      <c r="AE233" s="51"/>
      <c r="AF233" s="51"/>
      <c r="AG233" s="51"/>
      <c r="AH233" s="51"/>
      <c r="AI233" s="51"/>
      <c r="AJ233" s="51"/>
      <c r="AK233" s="51"/>
      <c r="AL233" s="51"/>
      <c r="AM233" s="51"/>
      <c r="AN233" s="51"/>
      <c r="AO233" s="51"/>
      <c r="AP233" s="51"/>
      <c r="AQ233" s="51"/>
      <c r="AR233" s="51"/>
      <c r="AS233" s="51"/>
      <c r="AW233" s="51"/>
      <c r="AX233" s="51"/>
      <c r="AY233" s="51"/>
      <c r="AZ233" s="51"/>
      <c r="BA233" s="51"/>
      <c r="BB233" s="51"/>
      <c r="BC233" s="51"/>
      <c r="BD233" s="51"/>
      <c r="BE233" s="51"/>
      <c r="BF233" s="51"/>
      <c r="BG233" s="51"/>
      <c r="BH233" s="51"/>
      <c r="BI233" s="51"/>
      <c r="BJ233" s="51"/>
      <c r="BK233" s="51"/>
      <c r="BL233" s="51"/>
      <c r="BM233" s="51"/>
    </row>
    <row r="234" spans="2:65" ht="15.75">
      <c r="B234" s="72" t="str">
        <f>"[("&amp;ROUND(VEd3z.ay,2)&amp;"kN ∙ "&amp;K/1000&amp;"m +"&amp;ROUND(VEd4z.ay,2)&amp;"kN ∙ ("&amp;D&amp;"-"&amp;K/1000&amp;")m+"&amp;ROUND(VEd1z.ay,2)&amp;"kN ∙ ("&amp;A&amp;"-"&amp;D&amp;"+"&amp;K/1000&amp;")m+"&amp;ROUND(VEd2z.ay,2) &amp;"kN ∙ ("&amp;A&amp;"-"&amp;K/1000&amp;")m]/"&amp;A&amp;"m ="</f>
        <v>[(7,24kN ∙ 0,22m +7,24kN ∙ (1,2-0,22)m+-21,13kN ∙ (2,6-1,2+0,22)m+35,6kN ∙ (2,6-0,22)m]/2,6m =</v>
      </c>
      <c r="C234" s="71"/>
      <c r="D234" s="313"/>
      <c r="E234" s="10"/>
      <c r="F234" s="17">
        <f>ROUND(((VEd3z.ay*K/1000+VEd4z.ay*(D-K/1000)+VEd1z.ay*(A-D+K/1000)+VEd2z.ay*(A-K/1000))/A),2)</f>
        <v>22.76</v>
      </c>
      <c r="G234" s="135"/>
      <c r="H234" s="25"/>
      <c r="I234" s="4"/>
      <c r="J234" s="10"/>
      <c r="K234" s="17"/>
      <c r="L234" s="15"/>
      <c r="X234" s="56"/>
      <c r="Y234" s="56"/>
      <c r="AA234" s="56"/>
      <c r="AC234" s="51"/>
      <c r="AD234" s="51"/>
      <c r="AE234" s="51"/>
      <c r="AF234" s="51"/>
      <c r="AG234" s="51"/>
      <c r="AH234" s="51"/>
      <c r="AI234" s="51"/>
      <c r="AJ234" s="51"/>
      <c r="AK234" s="51"/>
      <c r="AL234" s="51"/>
      <c r="AM234" s="51"/>
      <c r="AN234" s="51"/>
      <c r="AO234" s="51"/>
      <c r="AP234" s="51"/>
      <c r="AQ234" s="51"/>
      <c r="AR234" s="51"/>
      <c r="AS234" s="51"/>
      <c r="AW234" s="51"/>
      <c r="AX234" s="51"/>
      <c r="AY234" s="51"/>
      <c r="AZ234" s="51"/>
      <c r="BA234" s="51"/>
      <c r="BB234" s="51"/>
      <c r="BC234" s="51"/>
      <c r="BD234" s="51"/>
      <c r="BE234" s="51"/>
      <c r="BF234" s="51"/>
      <c r="BG234" s="51"/>
      <c r="BH234" s="51"/>
      <c r="BI234" s="51"/>
      <c r="BJ234" s="51"/>
      <c r="BK234" s="51"/>
      <c r="BL234" s="51"/>
      <c r="BM234" s="51"/>
    </row>
    <row r="235" spans="2:65" ht="15.75">
      <c r="B235" s="72"/>
      <c r="C235" s="71"/>
      <c r="D235" s="313"/>
      <c r="E235" s="10"/>
      <c r="F235" s="17"/>
      <c r="G235" s="135"/>
      <c r="H235" s="25"/>
      <c r="I235" s="4"/>
      <c r="J235" s="10"/>
      <c r="K235" s="17"/>
      <c r="L235" s="15"/>
      <c r="X235" s="56"/>
      <c r="Y235" s="56"/>
      <c r="AA235" s="56"/>
      <c r="AC235" s="51"/>
      <c r="AD235" s="51"/>
      <c r="AE235" s="51"/>
      <c r="AF235" s="51"/>
      <c r="AG235" s="51"/>
      <c r="AH235" s="51"/>
      <c r="AI235" s="51"/>
      <c r="AJ235" s="51"/>
      <c r="AK235" s="51"/>
      <c r="AL235" s="51"/>
      <c r="AM235" s="51"/>
      <c r="AN235" s="51"/>
      <c r="AO235" s="51"/>
      <c r="AP235" s="51"/>
      <c r="AQ235" s="51"/>
      <c r="AR235" s="51"/>
      <c r="AS235" s="51"/>
      <c r="AW235" s="51"/>
      <c r="AX235" s="51"/>
      <c r="AY235" s="51"/>
      <c r="AZ235" s="51"/>
      <c r="BA235" s="51"/>
      <c r="BB235" s="51"/>
      <c r="BC235" s="51"/>
      <c r="BD235" s="51"/>
      <c r="BE235" s="51"/>
      <c r="BF235" s="51"/>
      <c r="BG235" s="51"/>
      <c r="BH235" s="51"/>
      <c r="BI235" s="51"/>
      <c r="BJ235" s="51"/>
      <c r="BK235" s="51"/>
      <c r="BL235" s="51"/>
      <c r="BM235" s="51"/>
    </row>
    <row r="236" spans="2:65" ht="16.5" thickBot="1">
      <c r="B236" s="317" t="s">
        <v>370</v>
      </c>
      <c r="C236" s="318"/>
      <c r="D236" s="315"/>
      <c r="E236" s="339" t="s">
        <v>135</v>
      </c>
      <c r="F236" s="340"/>
      <c r="G236" s="314"/>
      <c r="H236" s="315"/>
      <c r="I236" s="316" t="s">
        <v>122</v>
      </c>
      <c r="J236" s="315"/>
      <c r="K236" s="315"/>
      <c r="L236" s="15"/>
      <c r="AC236" s="51"/>
      <c r="AD236" s="51"/>
      <c r="AE236" s="51"/>
      <c r="AF236" s="51"/>
      <c r="AG236" s="51"/>
      <c r="AH236" s="51"/>
      <c r="AI236" s="51"/>
      <c r="AJ236" s="51"/>
      <c r="AK236" s="51"/>
      <c r="AL236" s="51"/>
      <c r="AM236" s="51"/>
      <c r="AN236" s="51"/>
      <c r="AO236" s="51"/>
      <c r="AP236" s="51"/>
      <c r="AQ236" s="51"/>
      <c r="AR236" s="51"/>
      <c r="AS236" s="51"/>
      <c r="AW236" s="51"/>
      <c r="AX236" s="51"/>
      <c r="AY236" s="51"/>
      <c r="AZ236" s="51"/>
      <c r="BA236" s="51"/>
      <c r="BB236" s="51"/>
      <c r="BC236" s="51"/>
      <c r="BD236" s="51"/>
      <c r="BE236" s="51"/>
      <c r="BF236" s="51"/>
      <c r="BG236" s="51"/>
      <c r="BH236" s="51"/>
      <c r="BI236" s="51"/>
      <c r="BJ236" s="51"/>
      <c r="BK236" s="51"/>
      <c r="BL236" s="51"/>
      <c r="BM236" s="51"/>
    </row>
    <row r="237" spans="2:65" ht="15.75">
      <c r="B237" s="312" t="s">
        <v>363</v>
      </c>
      <c r="C237" s="277"/>
      <c r="E237" s="297"/>
      <c r="F237" s="297"/>
      <c r="G237" s="298"/>
      <c r="H237" s="38"/>
      <c r="I237" s="297"/>
      <c r="J237" s="38"/>
      <c r="K237" s="38"/>
      <c r="L237" s="15"/>
      <c r="AC237" s="51"/>
      <c r="AD237" s="51"/>
      <c r="AE237" s="51"/>
      <c r="AF237" s="51"/>
      <c r="AG237" s="51"/>
      <c r="AH237" s="51"/>
      <c r="AI237" s="51"/>
      <c r="AJ237" s="51"/>
      <c r="AK237" s="51"/>
      <c r="AL237" s="51"/>
      <c r="AM237" s="51"/>
      <c r="AN237" s="51"/>
      <c r="AO237" s="51"/>
      <c r="AP237" s="51"/>
      <c r="AQ237" s="51"/>
      <c r="AR237" s="51"/>
      <c r="AS237" s="51"/>
      <c r="AW237" s="51"/>
      <c r="AX237" s="51"/>
      <c r="AY237" s="51"/>
      <c r="AZ237" s="51"/>
      <c r="BA237" s="51"/>
      <c r="BB237" s="51"/>
      <c r="BC237" s="51"/>
      <c r="BD237" s="51"/>
      <c r="BE237" s="51"/>
      <c r="BF237" s="51"/>
      <c r="BG237" s="51"/>
      <c r="BH237" s="51"/>
      <c r="BI237" s="51"/>
      <c r="BJ237" s="51"/>
      <c r="BK237" s="51"/>
      <c r="BL237" s="51"/>
      <c r="BM237" s="51"/>
    </row>
    <row r="238" spans="2:65" ht="19.5">
      <c r="B238" s="72" t="s">
        <v>322</v>
      </c>
      <c r="D238" s="292" t="s">
        <v>329</v>
      </c>
      <c r="E238" s="14" t="str">
        <f>"Maximum ("&amp;ROUND(F229,2)&amp;";"&amp;ROUND(F234,2)&amp;")kN="</f>
        <v>Maximum (23,09;22,76)kN=</v>
      </c>
      <c r="F238" s="17">
        <f>MAXA(ROUND(F234,2),ROUND(F229,2))</f>
        <v>23.09</v>
      </c>
      <c r="G238" s="290"/>
      <c r="H238" s="292" t="s">
        <v>320</v>
      </c>
      <c r="I238" s="291"/>
      <c r="K238" s="17">
        <f>ROUND(QTot.Flights.ULS/2,2)</f>
        <v>20.87</v>
      </c>
      <c r="L238" s="15"/>
      <c r="AC238" s="51"/>
      <c r="AD238" s="51"/>
      <c r="AE238" s="51"/>
      <c r="AF238" s="51"/>
      <c r="AG238" s="51"/>
      <c r="AH238" s="51"/>
      <c r="AI238" s="51"/>
      <c r="AJ238" s="51"/>
      <c r="AK238" s="51"/>
      <c r="AL238" s="51"/>
      <c r="AM238" s="51"/>
      <c r="AN238" s="51"/>
      <c r="AO238" s="51"/>
      <c r="AP238" s="51"/>
      <c r="AQ238" s="51"/>
      <c r="AR238" s="51"/>
      <c r="AS238" s="51"/>
      <c r="AW238" s="51"/>
      <c r="AX238" s="51"/>
      <c r="AY238" s="51"/>
      <c r="AZ238" s="51"/>
      <c r="BA238" s="51"/>
      <c r="BB238" s="51"/>
      <c r="BC238" s="51"/>
      <c r="BD238" s="51"/>
      <c r="BE238" s="51"/>
      <c r="BF238" s="51"/>
      <c r="BG238" s="51"/>
      <c r="BH238" s="51"/>
      <c r="BI238" s="51"/>
      <c r="BJ238" s="51"/>
      <c r="BK238" s="51"/>
      <c r="BL238" s="51"/>
      <c r="BM238" s="51"/>
    </row>
    <row r="239" spans="2:65" ht="19.5">
      <c r="B239" s="13"/>
      <c r="C239" s="17"/>
      <c r="D239" s="50" t="s">
        <v>337</v>
      </c>
      <c r="E239" s="10" t="str">
        <f>"("&amp;Rmax.ALS&amp;"kN ∙ "&amp;C246+E246&amp;"mm"&amp;") / "&amp;C246&amp;"mm"&amp;" ="</f>
        <v>(23,09kN ∙ 1205mm) / 1095mm =</v>
      </c>
      <c r="F239" s="17">
        <f>ROUNDDOWN(Rmax.ALS*(C246+E246)/C246,2)</f>
        <v>25.4</v>
      </c>
      <c r="G239" s="126"/>
      <c r="H239" s="156" t="s">
        <v>339</v>
      </c>
      <c r="I239" s="10" t="str">
        <f>"("&amp;Rmax.ULS&amp;"kN ∙ "&amp;I246+K246&amp;"mm"&amp;") / "&amp;I246&amp;"mm"&amp;" ="</f>
        <v>(20,87kN ∙ 1205mm) / 1095mm =</v>
      </c>
      <c r="J239" s="17">
        <f>ROUNDDOWN(Rmax.ULS*(I246+K246)/I246,2)</f>
        <v>22.96</v>
      </c>
      <c r="L239" s="15"/>
      <c r="AC239" s="51"/>
      <c r="AD239" s="51"/>
      <c r="AE239" s="51"/>
      <c r="AF239" s="51"/>
      <c r="AG239" s="51"/>
      <c r="AH239" s="51"/>
      <c r="AI239" s="51"/>
      <c r="AJ239" s="51"/>
      <c r="AK239" s="51"/>
      <c r="AL239" s="51"/>
      <c r="AM239" s="51"/>
      <c r="AN239" s="51"/>
      <c r="AO239" s="51"/>
      <c r="AP239" s="51"/>
      <c r="AQ239" s="51"/>
      <c r="AR239" s="51"/>
      <c r="AS239" s="51"/>
      <c r="AW239" s="51"/>
      <c r="AX239" s="51"/>
      <c r="AY239" s="51"/>
      <c r="AZ239" s="51"/>
      <c r="BA239" s="51"/>
      <c r="BB239" s="51"/>
      <c r="BC239" s="51"/>
      <c r="BD239" s="51"/>
      <c r="BE239" s="51"/>
      <c r="BF239" s="51"/>
      <c r="BG239" s="51"/>
      <c r="BH239" s="51"/>
      <c r="BI239" s="51"/>
      <c r="BJ239" s="51"/>
      <c r="BK239" s="51"/>
      <c r="BL239" s="51"/>
      <c r="BM239" s="51"/>
    </row>
    <row r="240" spans="2:65" ht="19.5">
      <c r="B240" s="13"/>
      <c r="C240" s="7"/>
      <c r="D240" s="156" t="s">
        <v>338</v>
      </c>
      <c r="E240" s="10" t="str">
        <f>Rmax.ALS&amp;"kN - "&amp;FFront.ALS.Flight&amp;"kN"&amp;" ="</f>
        <v>23,09kN - 25,4kN =</v>
      </c>
      <c r="F240" s="17">
        <f>ROUNDDOWN(Rmax.ALS-FFront.ALS.Flight,2)</f>
        <v>-2.31</v>
      </c>
      <c r="G240" s="126"/>
      <c r="H240" s="156" t="s">
        <v>340</v>
      </c>
      <c r="I240" s="10" t="str">
        <f>Rmax.ULS&amp;"kN - "&amp;FFront.ULS.Flight&amp;"kN"&amp;" ="</f>
        <v>20,87kN - 22,96kN =</v>
      </c>
      <c r="J240" s="17">
        <f>ROUNDDOWN(Rmax.ULS-FFront.ULS.Flight,2)</f>
        <v>-2.09</v>
      </c>
      <c r="L240" s="15"/>
      <c r="M240" s="50"/>
      <c r="N240" s="50"/>
      <c r="O240" s="50"/>
      <c r="P240" s="50"/>
      <c r="Q240" s="50"/>
      <c r="R240" s="50"/>
      <c r="S240" s="50"/>
      <c r="T240" s="50"/>
      <c r="U240" s="50"/>
      <c r="AC240" s="51"/>
      <c r="AD240" s="51"/>
      <c r="AE240" s="51"/>
      <c r="AF240" s="51"/>
      <c r="AG240" s="51"/>
      <c r="AH240" s="51"/>
      <c r="AI240" s="51"/>
      <c r="AJ240" s="51"/>
      <c r="AK240" s="51"/>
      <c r="AL240" s="51"/>
      <c r="AM240" s="51"/>
      <c r="AN240" s="51"/>
      <c r="AO240" s="51"/>
      <c r="AP240" s="51"/>
      <c r="AQ240" s="51"/>
      <c r="AR240" s="51"/>
      <c r="AS240" s="51"/>
      <c r="AW240" s="51"/>
      <c r="AX240" s="51"/>
      <c r="AY240" s="51"/>
      <c r="AZ240" s="51"/>
      <c r="BA240" s="51"/>
      <c r="BB240" s="51"/>
      <c r="BC240" s="51"/>
      <c r="BD240" s="51"/>
      <c r="BE240" s="51"/>
      <c r="BF240" s="51"/>
      <c r="BG240" s="51"/>
      <c r="BH240" s="51"/>
      <c r="BI240" s="51"/>
      <c r="BJ240" s="51"/>
      <c r="BK240" s="51"/>
      <c r="BL240" s="51"/>
      <c r="BM240" s="51"/>
    </row>
    <row r="241" spans="1:65" ht="15">
      <c r="B241" s="13"/>
      <c r="C241" s="10"/>
      <c r="D241" s="10"/>
      <c r="E241" s="10"/>
      <c r="F241" s="10"/>
      <c r="G241" s="126"/>
      <c r="K241" s="56"/>
      <c r="L241" s="15"/>
      <c r="M241" s="50"/>
      <c r="N241" s="50"/>
      <c r="O241" s="50"/>
      <c r="P241" s="50"/>
      <c r="Q241" s="50"/>
      <c r="R241" s="50"/>
      <c r="S241" s="50"/>
      <c r="T241" s="50"/>
      <c r="U241" s="50"/>
      <c r="V241" s="50"/>
      <c r="AC241" s="51"/>
      <c r="AD241" s="51"/>
      <c r="AE241" s="51"/>
      <c r="AF241" s="51"/>
      <c r="AG241" s="51"/>
      <c r="AH241" s="51"/>
      <c r="AI241" s="51"/>
      <c r="AJ241" s="51"/>
      <c r="AK241" s="51"/>
      <c r="AL241" s="51"/>
      <c r="AM241" s="51"/>
      <c r="AN241" s="51"/>
      <c r="AO241" s="51"/>
      <c r="AP241" s="51"/>
      <c r="AQ241" s="51"/>
      <c r="AR241" s="51"/>
      <c r="AS241" s="51"/>
      <c r="AW241" s="51"/>
      <c r="AX241" s="51"/>
      <c r="AY241" s="51"/>
      <c r="AZ241" s="51"/>
      <c r="BA241" s="51"/>
      <c r="BB241" s="51"/>
      <c r="BC241" s="51"/>
      <c r="BD241" s="51"/>
      <c r="BE241" s="51"/>
      <c r="BF241" s="51"/>
      <c r="BG241" s="51"/>
      <c r="BH241" s="51"/>
      <c r="BI241" s="51"/>
      <c r="BJ241" s="51"/>
      <c r="BK241" s="51"/>
      <c r="BL241" s="51"/>
      <c r="BM241" s="51"/>
    </row>
    <row r="242" spans="1:65" ht="15">
      <c r="B242" s="13"/>
      <c r="C242" s="16"/>
      <c r="D242" s="34"/>
      <c r="E242" s="51" t="str">
        <f>"Rmax.ALS = "&amp;Rmax.ALS&amp;"kN"</f>
        <v>Rmax.ALS = 23,09kN</v>
      </c>
      <c r="F242" s="7"/>
      <c r="G242" s="126"/>
      <c r="H242" s="7"/>
      <c r="I242" s="16"/>
      <c r="J242" s="34"/>
      <c r="K242" s="51" t="str">
        <f>"Rmax.ULS = "&amp;Rmax.ULS&amp;"kN"</f>
        <v>Rmax.ULS = 20,87kN</v>
      </c>
      <c r="L242" s="15"/>
      <c r="M242" s="50"/>
      <c r="N242" s="50"/>
      <c r="O242" s="50"/>
      <c r="P242" s="50"/>
      <c r="Q242" s="50"/>
      <c r="R242" s="50"/>
      <c r="S242" s="50"/>
      <c r="T242" s="50"/>
      <c r="U242" s="50"/>
      <c r="V242" s="50"/>
      <c r="AC242" s="51"/>
      <c r="AD242" s="51"/>
      <c r="AE242" s="51"/>
      <c r="AF242" s="51"/>
      <c r="AG242" s="51"/>
      <c r="AH242" s="51"/>
      <c r="AI242" s="51"/>
      <c r="AJ242" s="51"/>
      <c r="AK242" s="51"/>
      <c r="AL242" s="51"/>
      <c r="AM242" s="51"/>
      <c r="AN242" s="51"/>
      <c r="AO242" s="51"/>
      <c r="AP242" s="51"/>
      <c r="AQ242" s="51"/>
      <c r="AR242" s="51"/>
      <c r="AS242" s="51"/>
      <c r="AW242" s="51"/>
      <c r="AX242" s="51"/>
      <c r="AY242" s="51"/>
      <c r="AZ242" s="51"/>
      <c r="BA242" s="51"/>
      <c r="BB242" s="51"/>
      <c r="BC242" s="51"/>
      <c r="BD242" s="51"/>
      <c r="BE242" s="51"/>
      <c r="BF242" s="51"/>
      <c r="BG242" s="51"/>
      <c r="BH242" s="51"/>
      <c r="BI242" s="51"/>
      <c r="BJ242" s="51"/>
      <c r="BK242" s="51"/>
      <c r="BL242" s="51"/>
      <c r="BM242" s="51"/>
    </row>
    <row r="243" spans="1:65" ht="15">
      <c r="A243" s="5"/>
      <c r="B243" s="13"/>
      <c r="C243" s="275"/>
      <c r="D243" s="4"/>
      <c r="F243" s="4"/>
      <c r="G243" s="126"/>
      <c r="H243" s="11"/>
      <c r="I243" s="154"/>
      <c r="J243" s="4"/>
      <c r="L243" s="15"/>
      <c r="M243" s="50"/>
      <c r="N243" s="50"/>
      <c r="O243" s="50"/>
      <c r="P243" s="50"/>
      <c r="Q243" s="50"/>
      <c r="R243" s="50"/>
      <c r="S243" s="50"/>
      <c r="T243" s="50"/>
      <c r="U243" s="50"/>
      <c r="V243" s="50"/>
      <c r="AC243" s="51"/>
      <c r="AD243" s="51"/>
      <c r="AE243" s="51"/>
      <c r="AF243" s="51"/>
      <c r="AG243" s="51"/>
      <c r="AH243" s="51"/>
      <c r="AI243" s="51"/>
      <c r="AJ243" s="51"/>
      <c r="AK243" s="51"/>
      <c r="AL243" s="51"/>
      <c r="AM243" s="51"/>
      <c r="AN243" s="51"/>
      <c r="AO243" s="51"/>
      <c r="AP243" s="51"/>
      <c r="AQ243" s="51"/>
      <c r="AR243" s="51"/>
      <c r="AS243" s="51"/>
      <c r="AW243" s="51"/>
      <c r="AX243" s="51"/>
      <c r="AY243" s="51"/>
      <c r="AZ243" s="51"/>
      <c r="BA243" s="51"/>
      <c r="BB243" s="51"/>
      <c r="BC243" s="51"/>
      <c r="BD243" s="51"/>
      <c r="BE243" s="51"/>
      <c r="BF243" s="51"/>
      <c r="BG243" s="51"/>
      <c r="BH243" s="51"/>
      <c r="BI243" s="51"/>
      <c r="BJ243" s="51"/>
      <c r="BK243" s="51"/>
      <c r="BL243" s="51"/>
      <c r="BM243" s="51"/>
    </row>
    <row r="244" spans="1:65" ht="15">
      <c r="A244" s="5"/>
      <c r="B244" s="13"/>
      <c r="C244" s="7"/>
      <c r="D244" s="7"/>
      <c r="E244" s="7"/>
      <c r="F244" s="11"/>
      <c r="G244" s="126"/>
      <c r="H244" s="11"/>
      <c r="I244" s="7"/>
      <c r="J244" s="7"/>
      <c r="K244" s="7"/>
      <c r="L244" s="15"/>
      <c r="M244" s="50"/>
      <c r="N244" s="50"/>
      <c r="O244" s="50"/>
      <c r="P244" s="50"/>
      <c r="Q244" s="50"/>
      <c r="R244" s="50"/>
      <c r="S244" s="50"/>
      <c r="T244" s="50"/>
      <c r="U244" s="50"/>
      <c r="V244" s="50"/>
      <c r="AC244" s="51"/>
      <c r="AD244" s="51"/>
      <c r="AE244" s="51"/>
      <c r="AF244" s="51"/>
      <c r="AG244" s="51"/>
      <c r="AH244" s="51"/>
      <c r="AI244" s="51"/>
      <c r="AJ244" s="51"/>
      <c r="AK244" s="51"/>
      <c r="AL244" s="51"/>
      <c r="AM244" s="51"/>
      <c r="AN244" s="51"/>
      <c r="AO244" s="51"/>
      <c r="AP244" s="51"/>
      <c r="AQ244" s="51"/>
      <c r="AR244" s="51"/>
      <c r="AS244" s="51"/>
      <c r="AW244" s="51"/>
      <c r="AX244" s="51"/>
      <c r="AY244" s="51"/>
      <c r="AZ244" s="51"/>
      <c r="BA244" s="51"/>
      <c r="BB244" s="51"/>
      <c r="BC244" s="51"/>
      <c r="BD244" s="51"/>
      <c r="BE244" s="51"/>
      <c r="BF244" s="51"/>
      <c r="BG244" s="51"/>
      <c r="BH244" s="51"/>
      <c r="BI244" s="51"/>
      <c r="BJ244" s="51"/>
      <c r="BK244" s="51"/>
      <c r="BL244" s="51"/>
      <c r="BM244" s="51"/>
    </row>
    <row r="245" spans="1:65" ht="15">
      <c r="A245" s="5"/>
      <c r="B245" s="13"/>
      <c r="C245" s="7"/>
      <c r="D245" s="7"/>
      <c r="E245" s="7"/>
      <c r="F245" s="11"/>
      <c r="G245" s="126"/>
      <c r="H245" s="11"/>
      <c r="I245" s="7"/>
      <c r="J245" s="7"/>
      <c r="K245" s="7"/>
      <c r="L245" s="15"/>
      <c r="M245" s="50"/>
      <c r="N245" s="50"/>
      <c r="O245" s="50"/>
      <c r="P245" s="50"/>
      <c r="Q245" s="50"/>
      <c r="R245" s="50"/>
      <c r="S245" s="50"/>
      <c r="T245" s="50"/>
      <c r="U245" s="50"/>
      <c r="V245" s="50"/>
      <c r="AC245" s="51"/>
      <c r="AD245" s="51"/>
      <c r="AE245" s="51"/>
      <c r="AF245" s="51"/>
      <c r="AG245" s="51"/>
      <c r="AH245" s="51"/>
      <c r="AI245" s="51"/>
      <c r="AJ245" s="51"/>
      <c r="AK245" s="51"/>
      <c r="AL245" s="51"/>
      <c r="AM245" s="51"/>
      <c r="AN245" s="51"/>
      <c r="AO245" s="51"/>
      <c r="AP245" s="51"/>
      <c r="AQ245" s="51"/>
      <c r="AR245" s="51"/>
      <c r="AS245" s="51"/>
      <c r="AW245" s="51"/>
      <c r="AX245" s="51"/>
      <c r="AY245" s="51"/>
      <c r="AZ245" s="51"/>
      <c r="BA245" s="51"/>
      <c r="BB245" s="51"/>
      <c r="BC245" s="51"/>
      <c r="BD245" s="51"/>
      <c r="BE245" s="51"/>
      <c r="BF245" s="51"/>
      <c r="BG245" s="51"/>
      <c r="BH245" s="51"/>
      <c r="BI245" s="51"/>
      <c r="BJ245" s="51"/>
      <c r="BK245" s="51"/>
      <c r="BL245" s="51"/>
      <c r="BM245" s="51"/>
    </row>
    <row r="246" spans="1:65" ht="15">
      <c r="A246" s="5"/>
      <c r="B246" s="282">
        <f>-F28</f>
        <v>-75</v>
      </c>
      <c r="C246" s="279">
        <f>B*1000-I-B246</f>
        <v>1095</v>
      </c>
      <c r="E246" s="35">
        <f>(I-F34)</f>
        <v>110</v>
      </c>
      <c r="F246" s="11"/>
      <c r="G246" s="126"/>
      <c r="H246" s="130">
        <f>-F28</f>
        <v>-75</v>
      </c>
      <c r="I246" s="130">
        <f>B*1000-I-H246</f>
        <v>1095</v>
      </c>
      <c r="K246" s="35">
        <f>(I-F34)</f>
        <v>110</v>
      </c>
      <c r="L246" s="15"/>
      <c r="M246" s="50"/>
      <c r="N246" s="50"/>
      <c r="O246" s="50"/>
      <c r="P246" s="50"/>
      <c r="Q246" s="50"/>
      <c r="R246" s="50"/>
      <c r="S246" s="50"/>
      <c r="T246" s="50"/>
      <c r="U246" s="50"/>
      <c r="V246" s="50"/>
      <c r="AC246" s="51"/>
      <c r="AD246" s="51"/>
      <c r="AE246" s="51"/>
      <c r="AF246" s="51"/>
      <c r="AG246" s="51"/>
      <c r="AH246" s="51"/>
      <c r="AI246" s="51"/>
      <c r="AJ246" s="51"/>
      <c r="AK246" s="51"/>
      <c r="AL246" s="51"/>
      <c r="AM246" s="51"/>
      <c r="AN246" s="51"/>
      <c r="AO246" s="51"/>
      <c r="AP246" s="51"/>
      <c r="AQ246" s="51"/>
      <c r="AR246" s="51"/>
      <c r="AS246" s="51"/>
      <c r="AW246" s="51"/>
      <c r="AX246" s="51"/>
      <c r="AY246" s="51"/>
      <c r="AZ246" s="51"/>
      <c r="BA246" s="51"/>
      <c r="BB246" s="51"/>
      <c r="BC246" s="51"/>
      <c r="BD246" s="51"/>
      <c r="BE246" s="51"/>
      <c r="BF246" s="51"/>
      <c r="BG246" s="51"/>
      <c r="BH246" s="51"/>
      <c r="BI246" s="51"/>
      <c r="BJ246" s="51"/>
      <c r="BK246" s="51"/>
      <c r="BL246" s="51"/>
      <c r="BM246" s="51"/>
    </row>
    <row r="247" spans="1:65" ht="19.5">
      <c r="A247" s="5"/>
      <c r="B247" s="13" t="s">
        <v>343</v>
      </c>
      <c r="D247" s="16" t="s">
        <v>346</v>
      </c>
      <c r="E247" s="7"/>
      <c r="F247" s="11"/>
      <c r="G247" s="126"/>
      <c r="H247" s="34" t="s">
        <v>345</v>
      </c>
      <c r="J247" s="16" t="s">
        <v>344</v>
      </c>
      <c r="K247" s="7"/>
      <c r="L247" s="15"/>
      <c r="M247" s="50"/>
      <c r="N247" s="50"/>
      <c r="O247" s="50"/>
      <c r="P247" s="50"/>
      <c r="Q247" s="50"/>
      <c r="R247" s="50"/>
      <c r="S247" s="50"/>
      <c r="T247" s="50"/>
      <c r="U247" s="50"/>
      <c r="V247" s="50"/>
      <c r="AC247" s="51"/>
      <c r="AD247" s="51"/>
      <c r="AE247" s="51"/>
      <c r="AF247" s="51"/>
      <c r="AG247" s="51"/>
      <c r="AH247" s="51"/>
      <c r="AI247" s="51"/>
      <c r="AJ247" s="51"/>
      <c r="AK247" s="51"/>
      <c r="AL247" s="51"/>
      <c r="AM247" s="51"/>
      <c r="AN247" s="51"/>
      <c r="AO247" s="51"/>
      <c r="AP247" s="51"/>
      <c r="AQ247" s="51"/>
      <c r="AR247" s="51"/>
      <c r="AS247" s="51"/>
      <c r="AW247" s="51"/>
      <c r="AX247" s="51"/>
      <c r="AY247" s="51"/>
      <c r="AZ247" s="51"/>
      <c r="BA247" s="51"/>
      <c r="BB247" s="51"/>
      <c r="BC247" s="51"/>
      <c r="BD247" s="51"/>
      <c r="BE247" s="51"/>
      <c r="BF247" s="51"/>
      <c r="BG247" s="51"/>
      <c r="BH247" s="51"/>
      <c r="BI247" s="51"/>
      <c r="BJ247" s="51"/>
      <c r="BK247" s="51"/>
      <c r="BL247" s="51"/>
      <c r="BM247" s="51"/>
    </row>
    <row r="248" spans="1:65" ht="15">
      <c r="A248" s="5"/>
      <c r="B248" s="294" t="str">
        <f>FRear.ALS.Flight&amp;"kN"</f>
        <v>-2,31kN</v>
      </c>
      <c r="D248" s="137" t="str">
        <f>FFront.ALS.Flight&amp;"kN"</f>
        <v>25,4kN</v>
      </c>
      <c r="E248" s="7"/>
      <c r="F248" s="11"/>
      <c r="G248" s="126"/>
      <c r="H248" s="137" t="str">
        <f>FRear.ULS.Flight&amp;"kN"</f>
        <v>-2,09kN</v>
      </c>
      <c r="J248" s="51" t="str">
        <f>FFront.ULS.Flight&amp;"kN"</f>
        <v>22,96kN</v>
      </c>
      <c r="K248" s="7"/>
      <c r="L248" s="15"/>
      <c r="M248" s="50"/>
      <c r="N248" s="50"/>
      <c r="O248" s="50"/>
      <c r="P248" s="50"/>
      <c r="Q248" s="50"/>
      <c r="R248" s="50"/>
      <c r="S248" s="50"/>
      <c r="T248" s="50"/>
      <c r="U248" s="50"/>
      <c r="V248" s="50"/>
      <c r="AC248" s="51"/>
      <c r="AD248" s="51"/>
      <c r="AE248" s="51"/>
      <c r="AF248" s="51"/>
      <c r="AG248" s="51"/>
      <c r="AH248" s="51"/>
      <c r="AI248" s="51"/>
      <c r="AJ248" s="51"/>
      <c r="AK248" s="51"/>
      <c r="AL248" s="51"/>
      <c r="AM248" s="51"/>
      <c r="AN248" s="51"/>
      <c r="AO248" s="51"/>
      <c r="AP248" s="51"/>
      <c r="AQ248" s="51"/>
      <c r="AR248" s="51"/>
      <c r="AS248" s="51"/>
      <c r="AW248" s="51"/>
      <c r="AX248" s="51"/>
      <c r="AY248" s="51"/>
      <c r="AZ248" s="51"/>
      <c r="BA248" s="51"/>
      <c r="BB248" s="51"/>
      <c r="BC248" s="51"/>
      <c r="BD248" s="51"/>
      <c r="BE248" s="51"/>
      <c r="BF248" s="51"/>
      <c r="BG248" s="51"/>
      <c r="BH248" s="51"/>
      <c r="BI248" s="51"/>
      <c r="BJ248" s="51"/>
      <c r="BK248" s="51"/>
      <c r="BL248" s="51"/>
      <c r="BM248" s="51"/>
    </row>
    <row r="249" spans="1:65" ht="15">
      <c r="A249" s="5"/>
      <c r="B249" s="312" t="s">
        <v>364</v>
      </c>
      <c r="D249" s="137"/>
      <c r="E249" s="7"/>
      <c r="F249" s="11"/>
      <c r="G249" s="126"/>
      <c r="H249" s="137"/>
      <c r="K249" s="7"/>
      <c r="L249" s="15"/>
      <c r="M249" s="50"/>
      <c r="N249" s="50"/>
      <c r="O249" s="50"/>
      <c r="P249" s="50"/>
      <c r="Q249" s="50"/>
      <c r="R249" s="50"/>
      <c r="S249" s="50"/>
      <c r="T249" s="50"/>
      <c r="U249" s="50"/>
      <c r="V249" s="50"/>
      <c r="AC249" s="51"/>
      <c r="AD249" s="51"/>
      <c r="AE249" s="51"/>
      <c r="AF249" s="51"/>
      <c r="AG249" s="51"/>
      <c r="AH249" s="51"/>
      <c r="AI249" s="51"/>
      <c r="AJ249" s="51"/>
      <c r="AK249" s="51"/>
      <c r="AL249" s="51"/>
      <c r="AM249" s="51"/>
      <c r="AN249" s="51"/>
      <c r="AO249" s="51"/>
      <c r="AP249" s="51"/>
      <c r="AQ249" s="51"/>
      <c r="AR249" s="51"/>
      <c r="AS249" s="51"/>
      <c r="AW249" s="51"/>
      <c r="AX249" s="51"/>
      <c r="AY249" s="51"/>
      <c r="AZ249" s="51"/>
      <c r="BA249" s="51"/>
      <c r="BB249" s="51"/>
      <c r="BC249" s="51"/>
      <c r="BD249" s="51"/>
      <c r="BE249" s="51"/>
      <c r="BF249" s="51"/>
      <c r="BG249" s="51"/>
      <c r="BH249" s="51"/>
      <c r="BI249" s="51"/>
      <c r="BJ249" s="51"/>
      <c r="BK249" s="51"/>
      <c r="BL249" s="51"/>
      <c r="BM249" s="51"/>
    </row>
    <row r="250" spans="1:65" ht="19.5">
      <c r="A250" s="5"/>
      <c r="B250" s="13"/>
      <c r="C250" s="17"/>
      <c r="D250" s="50" t="s">
        <v>336</v>
      </c>
      <c r="E250" s="10" t="str">
        <f>"("&amp;QTot.Landing.ALS&amp;"kN/2 ∙ "&amp;C254&amp;"mm"&amp;") / "&amp;C257&amp;"mm"&amp;" ="</f>
        <v>(25,11kN/2 ∙ 675mm) / 1095mm =</v>
      </c>
      <c r="F250" s="17">
        <f>ROUNDDOWN(QTot.Landing.ALS/2*(C254)/C257,2)</f>
        <v>7.73</v>
      </c>
      <c r="G250" s="126"/>
      <c r="H250" s="156" t="s">
        <v>341</v>
      </c>
      <c r="I250" s="10" t="str">
        <f>"("&amp;QTot.Landing.ULS&amp;"kN/2 ∙ "&amp;I254&amp;"mm"&amp;") / "&amp;I257&amp;"mm"&amp;" ="</f>
        <v>(37,44kN/2 ∙ 675mm) / 1095mm =</v>
      </c>
      <c r="J250" s="17">
        <f>ROUNDDOWN(QTot.Landing.ULS/2*(I254)/I257,2)</f>
        <v>11.53</v>
      </c>
      <c r="K250" s="7"/>
      <c r="L250" s="15"/>
      <c r="M250" s="50"/>
      <c r="N250" s="50"/>
      <c r="O250" s="50"/>
      <c r="P250" s="50"/>
      <c r="Q250" s="50"/>
      <c r="R250" s="50"/>
      <c r="S250" s="50"/>
      <c r="T250" s="50"/>
      <c r="U250" s="50"/>
      <c r="V250" s="50"/>
      <c r="AC250" s="51"/>
      <c r="AD250" s="51"/>
      <c r="AE250" s="51"/>
      <c r="AF250" s="51"/>
      <c r="AG250" s="51"/>
      <c r="AH250" s="51"/>
      <c r="AI250" s="51"/>
      <c r="AJ250" s="51"/>
      <c r="AK250" s="51"/>
      <c r="AL250" s="51"/>
      <c r="AM250" s="51"/>
      <c r="AN250" s="51"/>
      <c r="AO250" s="51"/>
      <c r="AP250" s="51"/>
      <c r="AQ250" s="51"/>
      <c r="AR250" s="51"/>
      <c r="AS250" s="51"/>
      <c r="AW250" s="51"/>
      <c r="AX250" s="51"/>
      <c r="AY250" s="51"/>
      <c r="AZ250" s="51"/>
      <c r="BA250" s="51"/>
      <c r="BB250" s="51"/>
      <c r="BC250" s="51"/>
      <c r="BD250" s="51"/>
      <c r="BE250" s="51"/>
      <c r="BF250" s="51"/>
      <c r="BG250" s="51"/>
      <c r="BH250" s="51"/>
      <c r="BI250" s="51"/>
      <c r="BJ250" s="51"/>
      <c r="BK250" s="51"/>
      <c r="BL250" s="51"/>
      <c r="BM250" s="51"/>
    </row>
    <row r="251" spans="1:65" ht="19.5">
      <c r="A251" s="5"/>
      <c r="B251" s="13"/>
      <c r="C251" s="7"/>
      <c r="D251" s="156" t="s">
        <v>335</v>
      </c>
      <c r="E251" s="10" t="str">
        <f>QTot.Landing.ALS&amp;"kN/2 - "&amp;FFront.ALS.Landing&amp;"kN"&amp;" ="</f>
        <v>25,11kN/2 - 7,73kN =</v>
      </c>
      <c r="F251" s="17">
        <f>ROUNDDOWN(QTot.Landing.ALS/2-FFront.ALS.Landing,2)</f>
        <v>4.82</v>
      </c>
      <c r="G251" s="126"/>
      <c r="H251" s="156" t="s">
        <v>342</v>
      </c>
      <c r="I251" s="10" t="str">
        <f>QTot.Landing.ULS&amp;"kN/2  - "&amp;FFront.ULS.Landing&amp;"kN"&amp;" ="</f>
        <v>37,44kN/2  - 11,53kN =</v>
      </c>
      <c r="J251" s="17">
        <f>ROUNDDOWN(QTot.Landing.ULS/2-FFront.ULS.Landing,2)</f>
        <v>7.19</v>
      </c>
      <c r="K251" s="7"/>
      <c r="L251" s="15"/>
      <c r="M251" s="50"/>
      <c r="N251" s="50"/>
      <c r="O251" s="50"/>
      <c r="P251" s="50"/>
      <c r="Q251" s="50"/>
      <c r="R251" s="50"/>
      <c r="S251" s="50"/>
      <c r="T251" s="50"/>
      <c r="U251" s="50"/>
      <c r="V251" s="50"/>
      <c r="AC251" s="51"/>
      <c r="AD251" s="51"/>
      <c r="AE251" s="51"/>
      <c r="AF251" s="51"/>
      <c r="AG251" s="51"/>
      <c r="AH251" s="51"/>
      <c r="AI251" s="51"/>
      <c r="AJ251" s="51"/>
      <c r="AK251" s="51"/>
      <c r="AL251" s="51"/>
      <c r="AM251" s="51"/>
      <c r="AN251" s="51"/>
      <c r="AO251" s="51"/>
      <c r="AP251" s="51"/>
      <c r="AQ251" s="51"/>
      <c r="AR251" s="51"/>
      <c r="AS251" s="51"/>
      <c r="AW251" s="51"/>
      <c r="AX251" s="51"/>
      <c r="AY251" s="51"/>
      <c r="AZ251" s="51"/>
      <c r="BA251" s="51"/>
      <c r="BB251" s="51"/>
      <c r="BC251" s="51"/>
      <c r="BD251" s="51"/>
      <c r="BE251" s="51"/>
      <c r="BF251" s="51"/>
      <c r="BG251" s="51"/>
      <c r="BH251" s="51"/>
      <c r="BI251" s="51"/>
      <c r="BJ251" s="51"/>
      <c r="BK251" s="51"/>
      <c r="BL251" s="51"/>
      <c r="BM251" s="51"/>
    </row>
    <row r="252" spans="1:65" ht="15">
      <c r="A252" s="5"/>
      <c r="B252" s="13"/>
      <c r="C252" s="302" t="str">
        <f>"QTot.Landing.ALS/2 = "&amp;QTot.Landing.ALS/2&amp;"kN"</f>
        <v>QTot.Landing.ALS/2 = 12,555kN</v>
      </c>
      <c r="D252" s="10"/>
      <c r="E252" s="10"/>
      <c r="F252" s="11"/>
      <c r="G252" s="126"/>
      <c r="H252" s="7"/>
      <c r="I252" s="302" t="str">
        <f>"QTot.Landing.ULS/2 = "&amp;QTot.Landing.ULS/2&amp;"kN"</f>
        <v>QTot.Landing.ULS/2 = 18,72kN</v>
      </c>
      <c r="J252" s="10"/>
      <c r="K252" s="10"/>
      <c r="L252" s="15"/>
      <c r="M252" s="50"/>
      <c r="N252" s="50"/>
      <c r="O252" s="50"/>
      <c r="P252" s="50"/>
      <c r="Q252" s="50"/>
      <c r="R252" s="50"/>
      <c r="S252" s="50"/>
      <c r="T252" s="50"/>
      <c r="U252" s="50"/>
      <c r="V252" s="50"/>
      <c r="AC252" s="51"/>
      <c r="AD252" s="51"/>
      <c r="AE252" s="51"/>
      <c r="AF252" s="51"/>
      <c r="AG252" s="51"/>
      <c r="AH252" s="51"/>
      <c r="AI252" s="51"/>
      <c r="AJ252" s="51"/>
      <c r="AK252" s="51"/>
      <c r="AL252" s="51"/>
      <c r="AM252" s="51"/>
      <c r="AN252" s="51"/>
      <c r="AO252" s="51"/>
      <c r="AP252" s="51"/>
      <c r="AQ252" s="51"/>
      <c r="AR252" s="51"/>
      <c r="AS252" s="51"/>
      <c r="AW252" s="51"/>
      <c r="AX252" s="51"/>
      <c r="AY252" s="51"/>
      <c r="AZ252" s="51"/>
      <c r="BA252" s="51"/>
      <c r="BB252" s="51"/>
      <c r="BC252" s="51"/>
      <c r="BD252" s="51"/>
      <c r="BE252" s="51"/>
      <c r="BF252" s="51"/>
      <c r="BG252" s="51"/>
      <c r="BH252" s="51"/>
      <c r="BI252" s="51"/>
      <c r="BJ252" s="51"/>
      <c r="BK252" s="51"/>
      <c r="BL252" s="51"/>
      <c r="BM252" s="51"/>
    </row>
    <row r="253" spans="1:65" ht="15">
      <c r="A253" s="5"/>
      <c r="B253" s="13"/>
      <c r="D253" s="34"/>
      <c r="E253" s="299"/>
      <c r="F253" s="11"/>
      <c r="G253" s="126"/>
      <c r="H253" s="7"/>
      <c r="J253" s="34"/>
      <c r="K253" s="299"/>
      <c r="L253" s="15"/>
      <c r="M253" s="50"/>
      <c r="N253" s="50"/>
      <c r="O253" s="50"/>
      <c r="P253" s="50"/>
      <c r="Q253" s="50"/>
      <c r="R253" s="50"/>
      <c r="S253" s="50"/>
      <c r="T253" s="50"/>
      <c r="U253" s="50"/>
      <c r="V253" s="50"/>
      <c r="AC253" s="51"/>
      <c r="AD253" s="51"/>
      <c r="AE253" s="51"/>
      <c r="AF253" s="51"/>
      <c r="AG253" s="51"/>
      <c r="AH253" s="51"/>
      <c r="AI253" s="51"/>
      <c r="AJ253" s="51"/>
      <c r="AK253" s="51"/>
      <c r="AL253" s="51"/>
      <c r="AM253" s="51"/>
      <c r="AN253" s="51"/>
      <c r="AO253" s="51"/>
      <c r="AP253" s="51"/>
      <c r="AQ253" s="51"/>
      <c r="AR253" s="51"/>
      <c r="AS253" s="51"/>
      <c r="AW253" s="51"/>
      <c r="AX253" s="51"/>
      <c r="AY253" s="51"/>
      <c r="AZ253" s="51"/>
      <c r="BA253" s="51"/>
      <c r="BB253" s="51"/>
      <c r="BC253" s="51"/>
      <c r="BD253" s="51"/>
      <c r="BE253" s="51"/>
      <c r="BF253" s="51"/>
      <c r="BG253" s="51"/>
      <c r="BH253" s="51"/>
      <c r="BI253" s="51"/>
      <c r="BJ253" s="51"/>
      <c r="BK253" s="51"/>
      <c r="BL253" s="51"/>
      <c r="BM253" s="51"/>
    </row>
    <row r="254" spans="1:65" ht="15">
      <c r="A254" s="5"/>
      <c r="B254" s="13"/>
      <c r="C254" s="35">
        <f>B*1000/2+F28</f>
        <v>675</v>
      </c>
      <c r="D254" s="4"/>
      <c r="F254" s="11"/>
      <c r="G254" s="126"/>
      <c r="H254" s="7"/>
      <c r="I254" s="35">
        <f>B*1000/2+F28</f>
        <v>675</v>
      </c>
      <c r="J254" s="4"/>
      <c r="L254" s="15"/>
      <c r="M254" s="50"/>
      <c r="N254" s="50"/>
      <c r="O254" s="50"/>
      <c r="P254" s="50"/>
      <c r="Q254" s="50"/>
      <c r="R254" s="50"/>
      <c r="S254" s="50"/>
      <c r="T254" s="50"/>
      <c r="U254" s="50"/>
      <c r="V254" s="50"/>
      <c r="AC254" s="51"/>
      <c r="AD254" s="51"/>
      <c r="AE254" s="51"/>
      <c r="AF254" s="51"/>
      <c r="AG254" s="51"/>
      <c r="AH254" s="51"/>
      <c r="AI254" s="51"/>
      <c r="AJ254" s="51"/>
      <c r="AK254" s="51"/>
      <c r="AL254" s="51"/>
      <c r="AM254" s="51"/>
      <c r="AN254" s="51"/>
      <c r="AO254" s="51"/>
      <c r="AP254" s="51"/>
      <c r="AQ254" s="51"/>
      <c r="AR254" s="51"/>
      <c r="AS254" s="51"/>
      <c r="AW254" s="51"/>
      <c r="AX254" s="51"/>
      <c r="AY254" s="51"/>
      <c r="AZ254" s="51"/>
      <c r="BA254" s="51"/>
      <c r="BB254" s="51"/>
      <c r="BC254" s="51"/>
      <c r="BD254" s="51"/>
      <c r="BE254" s="51"/>
      <c r="BF254" s="51"/>
      <c r="BG254" s="51"/>
      <c r="BH254" s="51"/>
      <c r="BI254" s="51"/>
      <c r="BJ254" s="51"/>
      <c r="BK254" s="51"/>
      <c r="BL254" s="51"/>
      <c r="BM254" s="51"/>
    </row>
    <row r="255" spans="1:65" ht="15">
      <c r="A255" s="5"/>
      <c r="B255" s="13"/>
      <c r="C255" s="7"/>
      <c r="D255" s="7"/>
      <c r="E255" s="7"/>
      <c r="F255" s="11"/>
      <c r="G255" s="126"/>
      <c r="H255" s="7"/>
      <c r="I255" s="7"/>
      <c r="J255" s="7"/>
      <c r="K255" s="7"/>
      <c r="L255" s="15"/>
      <c r="M255" s="50"/>
      <c r="N255" s="50"/>
      <c r="O255" s="50"/>
      <c r="P255" s="50"/>
      <c r="Q255" s="50"/>
      <c r="R255" s="50"/>
      <c r="S255" s="50"/>
      <c r="T255" s="50"/>
      <c r="U255" s="50"/>
      <c r="V255" s="50"/>
      <c r="AC255" s="51"/>
      <c r="AD255" s="51"/>
      <c r="AE255" s="51"/>
      <c r="AF255" s="51"/>
      <c r="AG255" s="51"/>
      <c r="AH255" s="51"/>
      <c r="AI255" s="51"/>
      <c r="AJ255" s="51"/>
      <c r="AK255" s="51"/>
      <c r="AL255" s="51"/>
      <c r="AM255" s="51"/>
      <c r="AN255" s="51"/>
      <c r="AO255" s="51"/>
      <c r="AP255" s="51"/>
      <c r="AQ255" s="51"/>
      <c r="AR255" s="51"/>
      <c r="AS255" s="51"/>
      <c r="AW255" s="51"/>
      <c r="AX255" s="51"/>
      <c r="AY255" s="51"/>
      <c r="AZ255" s="51"/>
      <c r="BA255" s="51"/>
      <c r="BB255" s="51"/>
      <c r="BC255" s="51"/>
      <c r="BD255" s="51"/>
      <c r="BE255" s="51"/>
      <c r="BF255" s="51"/>
      <c r="BG255" s="51"/>
      <c r="BH255" s="51"/>
      <c r="BI255" s="51"/>
      <c r="BJ255" s="51"/>
      <c r="BK255" s="51"/>
      <c r="BL255" s="51"/>
      <c r="BM255" s="51"/>
    </row>
    <row r="256" spans="1:65" ht="15">
      <c r="A256" s="5"/>
      <c r="B256" s="13"/>
      <c r="C256" s="7"/>
      <c r="D256" s="7"/>
      <c r="E256" s="7"/>
      <c r="F256" s="11"/>
      <c r="G256" s="126"/>
      <c r="H256" s="7"/>
      <c r="I256" s="7"/>
      <c r="J256" s="7"/>
      <c r="K256" s="7"/>
      <c r="L256" s="15"/>
      <c r="M256" s="50"/>
      <c r="N256" s="50"/>
      <c r="O256" s="50"/>
      <c r="P256" s="50"/>
      <c r="Q256" s="50"/>
      <c r="R256" s="50"/>
      <c r="S256" s="50"/>
      <c r="T256" s="50"/>
      <c r="U256" s="50"/>
      <c r="V256" s="50"/>
      <c r="AC256" s="51"/>
      <c r="AD256" s="51"/>
      <c r="AE256" s="51"/>
      <c r="AF256" s="51"/>
      <c r="AG256" s="51"/>
      <c r="AH256" s="51"/>
      <c r="AI256" s="51"/>
      <c r="AJ256" s="51"/>
      <c r="AK256" s="51"/>
      <c r="AL256" s="51"/>
      <c r="AM256" s="51"/>
      <c r="AN256" s="51"/>
      <c r="AO256" s="51"/>
      <c r="AP256" s="51"/>
      <c r="AQ256" s="51"/>
      <c r="AR256" s="51"/>
      <c r="AS256" s="51"/>
      <c r="AW256" s="51"/>
      <c r="AX256" s="51"/>
      <c r="AY256" s="51"/>
      <c r="AZ256" s="51"/>
      <c r="BA256" s="51"/>
      <c r="BB256" s="51"/>
      <c r="BC256" s="51"/>
      <c r="BD256" s="51"/>
      <c r="BE256" s="51"/>
      <c r="BF256" s="51"/>
      <c r="BG256" s="51"/>
      <c r="BH256" s="51"/>
      <c r="BI256" s="51"/>
      <c r="BJ256" s="51"/>
      <c r="BK256" s="51"/>
      <c r="BL256" s="51"/>
      <c r="BM256" s="51"/>
    </row>
    <row r="257" spans="1:65" ht="15">
      <c r="A257" s="5"/>
      <c r="B257" s="296">
        <f>-F28</f>
        <v>-75</v>
      </c>
      <c r="C257" s="279">
        <f>B*1000-I-B257</f>
        <v>1095</v>
      </c>
      <c r="E257" s="35"/>
      <c r="F257" s="11"/>
      <c r="G257" s="126"/>
      <c r="H257" s="303">
        <f>-F28</f>
        <v>-75</v>
      </c>
      <c r="I257" s="279">
        <f>B*1000-I-H257</f>
        <v>1095</v>
      </c>
      <c r="K257" s="35"/>
      <c r="L257" s="15"/>
      <c r="M257" s="50"/>
      <c r="N257" s="50"/>
      <c r="O257" s="50"/>
      <c r="P257" s="50"/>
      <c r="Q257" s="50"/>
      <c r="R257" s="50"/>
      <c r="S257" s="50"/>
      <c r="T257" s="50"/>
      <c r="U257" s="50"/>
      <c r="V257" s="50"/>
      <c r="AC257" s="51"/>
      <c r="AD257" s="51"/>
      <c r="AE257" s="51"/>
      <c r="AF257" s="51"/>
      <c r="AG257" s="51"/>
      <c r="AH257" s="51"/>
      <c r="AI257" s="51"/>
      <c r="AJ257" s="51"/>
      <c r="AK257" s="51"/>
      <c r="AL257" s="51"/>
      <c r="AM257" s="51"/>
      <c r="AN257" s="51"/>
      <c r="AO257" s="51"/>
      <c r="AP257" s="51"/>
      <c r="AQ257" s="51"/>
      <c r="AR257" s="51"/>
      <c r="AS257" s="51"/>
      <c r="AW257" s="51"/>
      <c r="AX257" s="51"/>
      <c r="AY257" s="51"/>
      <c r="AZ257" s="51"/>
      <c r="BA257" s="51"/>
      <c r="BB257" s="51"/>
      <c r="BC257" s="51"/>
      <c r="BD257" s="51"/>
      <c r="BE257" s="51"/>
      <c r="BF257" s="51"/>
      <c r="BG257" s="51"/>
      <c r="BH257" s="51"/>
      <c r="BI257" s="51"/>
      <c r="BJ257" s="51"/>
      <c r="BK257" s="51"/>
      <c r="BL257" s="51"/>
      <c r="BM257" s="51"/>
    </row>
    <row r="258" spans="1:65" ht="19.5">
      <c r="A258" s="5"/>
      <c r="B258" s="13" t="s">
        <v>350</v>
      </c>
      <c r="D258" s="16" t="s">
        <v>347</v>
      </c>
      <c r="E258" s="7"/>
      <c r="F258" s="11"/>
      <c r="G258" s="126"/>
      <c r="H258" s="304" t="s">
        <v>348</v>
      </c>
      <c r="J258" s="16" t="s">
        <v>349</v>
      </c>
      <c r="K258" s="7"/>
      <c r="L258" s="15"/>
      <c r="M258" s="50"/>
      <c r="N258" s="50"/>
      <c r="O258" s="50"/>
      <c r="P258" s="50"/>
      <c r="Q258" s="50"/>
      <c r="R258" s="50"/>
      <c r="S258" s="50"/>
      <c r="T258" s="50"/>
      <c r="U258" s="50"/>
      <c r="V258" s="50"/>
      <c r="AC258" s="51"/>
      <c r="AD258" s="51"/>
      <c r="AE258" s="51"/>
      <c r="AF258" s="51"/>
      <c r="AG258" s="51"/>
      <c r="AH258" s="51"/>
      <c r="AI258" s="51"/>
      <c r="AJ258" s="51"/>
      <c r="AK258" s="51"/>
      <c r="AL258" s="51"/>
      <c r="AM258" s="51"/>
      <c r="AN258" s="51"/>
      <c r="AO258" s="51"/>
      <c r="AP258" s="51"/>
      <c r="AQ258" s="51"/>
      <c r="AR258" s="51"/>
      <c r="AS258" s="51"/>
      <c r="AW258" s="51"/>
      <c r="AX258" s="51"/>
      <c r="AY258" s="51"/>
      <c r="AZ258" s="51"/>
      <c r="BA258" s="51"/>
      <c r="BB258" s="51"/>
      <c r="BC258" s="51"/>
      <c r="BD258" s="51"/>
      <c r="BE258" s="51"/>
      <c r="BF258" s="51"/>
      <c r="BG258" s="51"/>
      <c r="BH258" s="51"/>
      <c r="BI258" s="51"/>
      <c r="BJ258" s="51"/>
      <c r="BK258" s="51"/>
      <c r="BL258" s="51"/>
      <c r="BM258" s="51"/>
    </row>
    <row r="259" spans="1:65" ht="15">
      <c r="B259" s="294" t="str">
        <f>FRear.ALS.Landing&amp;"kN"</f>
        <v>4,82kN</v>
      </c>
      <c r="D259" s="137" t="str">
        <f>FFront.ALS.Landing&amp;"kN"</f>
        <v>7,73kN</v>
      </c>
      <c r="E259" s="7"/>
      <c r="F259" s="11"/>
      <c r="G259" s="126"/>
      <c r="H259" s="20" t="str">
        <f>FRear.ULS.Landing&amp;"kN"</f>
        <v>7,19kN</v>
      </c>
      <c r="J259" s="137" t="str">
        <f>FFront.ULS.Landing&amp;"kN"</f>
        <v>11,53kN</v>
      </c>
      <c r="K259" s="7"/>
      <c r="L259" s="15"/>
      <c r="M259" s="50"/>
      <c r="N259" s="50"/>
      <c r="O259" s="50"/>
      <c r="P259" s="50"/>
      <c r="Q259" s="50"/>
      <c r="R259" s="50"/>
      <c r="S259" s="50"/>
      <c r="T259" s="50"/>
      <c r="U259" s="50"/>
      <c r="V259" s="50"/>
      <c r="AC259" s="51"/>
      <c r="AD259" s="51"/>
      <c r="AE259" s="51"/>
      <c r="AF259" s="51"/>
      <c r="AG259" s="51"/>
      <c r="AH259" s="51"/>
      <c r="AI259" s="51"/>
      <c r="AJ259" s="51"/>
      <c r="AK259" s="51"/>
      <c r="AL259" s="51"/>
      <c r="AM259" s="51"/>
      <c r="AN259" s="51"/>
      <c r="AO259" s="51"/>
      <c r="AP259" s="51"/>
      <c r="AQ259" s="51"/>
      <c r="AR259" s="51"/>
      <c r="AS259" s="51"/>
      <c r="AW259" s="51"/>
      <c r="AX259" s="51"/>
      <c r="AY259" s="51"/>
      <c r="AZ259" s="51"/>
      <c r="BA259" s="51"/>
      <c r="BB259" s="51"/>
      <c r="BC259" s="51"/>
      <c r="BD259" s="51"/>
      <c r="BE259" s="51"/>
      <c r="BF259" s="51"/>
      <c r="BG259" s="51"/>
      <c r="BH259" s="51"/>
      <c r="BI259" s="51"/>
      <c r="BJ259" s="51"/>
      <c r="BK259" s="51"/>
      <c r="BL259" s="51"/>
      <c r="BM259" s="51"/>
    </row>
    <row r="260" spans="1:65" ht="16.5" thickBot="1">
      <c r="B260" s="321" t="s">
        <v>369</v>
      </c>
      <c r="C260" s="255"/>
      <c r="D260" s="256"/>
      <c r="E260" s="257"/>
      <c r="F260" s="258"/>
      <c r="G260" s="259"/>
      <c r="H260" s="260"/>
      <c r="I260" s="260"/>
      <c r="J260" s="260"/>
      <c r="K260" s="260"/>
      <c r="L260" s="15"/>
      <c r="M260" s="50"/>
      <c r="N260" s="50"/>
      <c r="O260" s="50"/>
      <c r="P260" s="50"/>
      <c r="Q260" s="50"/>
      <c r="R260" s="50"/>
      <c r="S260" s="50"/>
      <c r="T260" s="50"/>
      <c r="U260" s="50"/>
      <c r="V260" s="50"/>
      <c r="AC260" s="51"/>
      <c r="AD260" s="51"/>
      <c r="AE260" s="51"/>
      <c r="AF260" s="51"/>
      <c r="AG260" s="51"/>
      <c r="AH260" s="51"/>
      <c r="AI260" s="51"/>
      <c r="AJ260" s="51"/>
      <c r="AK260" s="51"/>
      <c r="AL260" s="51"/>
      <c r="AM260" s="51"/>
      <c r="AN260" s="51"/>
      <c r="AO260" s="51"/>
      <c r="AP260" s="51"/>
      <c r="AQ260" s="51"/>
      <c r="AR260" s="51"/>
      <c r="AS260" s="51"/>
      <c r="AW260" s="51"/>
      <c r="AX260" s="51"/>
      <c r="AY260" s="51"/>
      <c r="AZ260" s="51"/>
      <c r="BA260" s="51"/>
      <c r="BB260" s="51"/>
      <c r="BC260" s="51"/>
      <c r="BD260" s="51"/>
      <c r="BE260" s="51"/>
      <c r="BF260" s="51"/>
      <c r="BG260" s="51"/>
      <c r="BH260" s="51"/>
      <c r="BI260" s="51"/>
      <c r="BJ260" s="51"/>
      <c r="BK260" s="51"/>
      <c r="BL260" s="51"/>
      <c r="BM260" s="51"/>
    </row>
    <row r="261" spans="1:65" ht="16.5" thickBot="1">
      <c r="B261" s="322" t="s">
        <v>328</v>
      </c>
      <c r="C261" s="326"/>
      <c r="D261" s="327"/>
      <c r="E261" s="328"/>
      <c r="F261" s="329"/>
      <c r="G261" s="324"/>
      <c r="H261" s="325"/>
      <c r="I261" s="325"/>
      <c r="J261" s="325"/>
      <c r="K261" s="325"/>
      <c r="L261" s="15"/>
      <c r="M261" s="50"/>
      <c r="N261" s="50"/>
      <c r="O261" s="50"/>
      <c r="P261" s="50"/>
      <c r="Q261" s="50"/>
      <c r="R261" s="50"/>
      <c r="S261" s="50"/>
      <c r="T261" s="50"/>
      <c r="U261" s="50"/>
      <c r="V261" s="50"/>
      <c r="AC261" s="51"/>
      <c r="AD261" s="51"/>
      <c r="AE261" s="51"/>
      <c r="AF261" s="51"/>
      <c r="AG261" s="51"/>
      <c r="AH261" s="51"/>
      <c r="AI261" s="51"/>
      <c r="AJ261" s="51"/>
      <c r="AK261" s="51"/>
      <c r="AL261" s="51"/>
      <c r="AM261" s="51"/>
      <c r="AN261" s="51"/>
      <c r="AO261" s="51"/>
      <c r="AP261" s="51"/>
      <c r="AQ261" s="51"/>
      <c r="AR261" s="51"/>
      <c r="AS261" s="51"/>
      <c r="AW261" s="51"/>
      <c r="AX261" s="51"/>
      <c r="AY261" s="51"/>
      <c r="AZ261" s="51"/>
      <c r="BA261" s="51"/>
      <c r="BB261" s="51"/>
      <c r="BC261" s="51"/>
      <c r="BD261" s="51"/>
      <c r="BE261" s="51"/>
      <c r="BF261" s="51"/>
      <c r="BG261" s="51"/>
      <c r="BH261" s="51"/>
      <c r="BI261" s="51"/>
      <c r="BJ261" s="51"/>
      <c r="BK261" s="51"/>
      <c r="BL261" s="51"/>
      <c r="BM261" s="51"/>
    </row>
    <row r="262" spans="1:65" ht="15">
      <c r="B262" s="12" t="s">
        <v>351</v>
      </c>
      <c r="C262" s="23"/>
      <c r="D262" s="22"/>
      <c r="H262" s="10" t="str">
        <f>QTot.Landing.Deadload&amp;"kN/" &amp;QTot.Landing.ULS&amp;"kN"&amp;" ∙ "&amp;FRear.ULS.Landing &amp;"kN ="</f>
        <v>19,5kN/37,44kN ∙ 7,19kN =</v>
      </c>
      <c r="I262" s="17">
        <f>ROUNDDOWN(QTot.Landing.Deadload/QTot.Landing.ULS*FRear.ULS.Landing,2)</f>
        <v>3.74</v>
      </c>
      <c r="J262" s="34"/>
      <c r="K262" s="7"/>
      <c r="L262" s="15"/>
      <c r="M262" s="50"/>
      <c r="N262" s="50"/>
      <c r="O262" s="50"/>
      <c r="P262" s="50"/>
      <c r="Q262" s="50"/>
      <c r="R262" s="50"/>
      <c r="S262" s="50"/>
      <c r="T262" s="50"/>
      <c r="U262" s="50"/>
      <c r="V262" s="50"/>
      <c r="AC262" s="51"/>
      <c r="AD262" s="51"/>
      <c r="AE262" s="51"/>
      <c r="AF262" s="51"/>
      <c r="AG262" s="51"/>
      <c r="AH262" s="51"/>
      <c r="AI262" s="51"/>
      <c r="AJ262" s="51"/>
      <c r="AK262" s="51"/>
      <c r="AL262" s="51"/>
      <c r="AM262" s="51"/>
      <c r="AN262" s="51"/>
      <c r="AO262" s="51"/>
      <c r="AP262" s="51"/>
      <c r="AQ262" s="51"/>
      <c r="AR262" s="51"/>
      <c r="AS262" s="51"/>
      <c r="AW262" s="51"/>
      <c r="AX262" s="51"/>
      <c r="AY262" s="51"/>
      <c r="AZ262" s="51"/>
      <c r="BA262" s="51"/>
      <c r="BB262" s="51"/>
      <c r="BC262" s="51"/>
      <c r="BD262" s="51"/>
      <c r="BE262" s="51"/>
      <c r="BF262" s="51"/>
      <c r="BG262" s="51"/>
      <c r="BH262" s="51"/>
      <c r="BI262" s="51"/>
      <c r="BJ262" s="51"/>
      <c r="BK262" s="51"/>
      <c r="BL262" s="51"/>
      <c r="BM262" s="51"/>
    </row>
    <row r="263" spans="1:65" ht="15">
      <c r="B263" s="83" t="s">
        <v>139</v>
      </c>
      <c r="C263" s="73"/>
      <c r="D263" s="73"/>
      <c r="F263" s="73"/>
      <c r="G263" s="73"/>
      <c r="H263" s="107" t="str">
        <f>" ="</f>
        <v xml:space="preserve"> =</v>
      </c>
      <c r="I263" s="125">
        <f>FRear.ULS.Flight</f>
        <v>-2.09</v>
      </c>
      <c r="J263" s="75"/>
      <c r="K263" s="7"/>
      <c r="L263" s="15"/>
      <c r="M263" s="50"/>
      <c r="N263" s="50"/>
      <c r="O263" s="50"/>
      <c r="P263" s="50"/>
      <c r="Q263" s="50"/>
      <c r="R263" s="50"/>
      <c r="S263" s="50"/>
      <c r="T263" s="50"/>
      <c r="U263" s="50"/>
      <c r="V263" s="50"/>
      <c r="AC263" s="51"/>
      <c r="AD263" s="51"/>
      <c r="AE263" s="51"/>
      <c r="AF263" s="51"/>
      <c r="AG263" s="51"/>
      <c r="AH263" s="51"/>
      <c r="AI263" s="51"/>
      <c r="AJ263" s="51"/>
      <c r="AK263" s="51"/>
      <c r="AL263" s="51"/>
      <c r="AM263" s="51"/>
      <c r="AN263" s="51"/>
      <c r="AO263" s="51"/>
      <c r="AP263" s="51"/>
      <c r="AQ263" s="51"/>
      <c r="AR263" s="51"/>
      <c r="AS263" s="51"/>
      <c r="AW263" s="51"/>
      <c r="AX263" s="51"/>
      <c r="AY263" s="51"/>
      <c r="AZ263" s="51"/>
      <c r="BA263" s="51"/>
      <c r="BB263" s="51"/>
      <c r="BC263" s="51"/>
      <c r="BD263" s="51"/>
      <c r="BE263" s="51"/>
      <c r="BF263" s="51"/>
      <c r="BG263" s="51"/>
      <c r="BH263" s="51"/>
      <c r="BI263" s="51"/>
      <c r="BJ263" s="51"/>
      <c r="BK263" s="51"/>
      <c r="BL263" s="51"/>
      <c r="BM263" s="51"/>
    </row>
    <row r="264" spans="1:65" ht="15.75">
      <c r="B264" s="150" t="s">
        <v>138</v>
      </c>
      <c r="C264" s="138"/>
      <c r="D264" s="139"/>
      <c r="E264" s="140"/>
      <c r="F264" s="269"/>
      <c r="G264" s="269"/>
      <c r="H264" s="269"/>
      <c r="I264" s="151">
        <f>SUM(I262:I263)</f>
        <v>1.6500000000000004</v>
      </c>
      <c r="J264" s="147" t="str">
        <f>IF(I264&lt;0,"Possible uplift at rear of landing","(No uplift)")</f>
        <v>(No uplift)</v>
      </c>
      <c r="K264" s="7"/>
      <c r="L264" s="15"/>
      <c r="M264" s="50"/>
      <c r="N264" s="50"/>
      <c r="O264" s="50"/>
      <c r="P264" s="50"/>
      <c r="Q264" s="50"/>
      <c r="R264" s="50"/>
      <c r="S264" s="50"/>
      <c r="T264" s="50"/>
      <c r="U264" s="50"/>
      <c r="V264" s="50"/>
      <c r="AC264" s="51"/>
      <c r="AD264" s="51"/>
      <c r="AE264" s="51"/>
      <c r="AF264" s="51"/>
      <c r="AG264" s="51"/>
      <c r="AH264" s="51"/>
      <c r="AI264" s="51"/>
      <c r="AJ264" s="51"/>
      <c r="AK264" s="51"/>
      <c r="AL264" s="51"/>
      <c r="AM264" s="51"/>
      <c r="AN264" s="51"/>
      <c r="AO264" s="51"/>
      <c r="AP264" s="51"/>
      <c r="AQ264" s="51"/>
      <c r="AR264" s="51"/>
      <c r="AS264" s="51"/>
      <c r="AW264" s="51"/>
      <c r="AX264" s="51"/>
      <c r="AY264" s="51"/>
      <c r="AZ264" s="51"/>
      <c r="BA264" s="51"/>
      <c r="BB264" s="51"/>
      <c r="BC264" s="51"/>
      <c r="BD264" s="51"/>
      <c r="BE264" s="51"/>
      <c r="BF264" s="51"/>
      <c r="BG264" s="51"/>
      <c r="BH264" s="51"/>
      <c r="BI264" s="51"/>
      <c r="BJ264" s="51"/>
      <c r="BK264" s="51"/>
      <c r="BL264" s="51"/>
      <c r="BM264" s="51"/>
    </row>
    <row r="265" spans="1:65" ht="15.75" thickBot="1">
      <c r="B265" s="322" t="s">
        <v>300</v>
      </c>
      <c r="C265" s="323"/>
      <c r="D265" s="323"/>
      <c r="E265" s="323"/>
      <c r="F265" s="323"/>
      <c r="G265" s="324"/>
      <c r="H265" s="325"/>
      <c r="I265" s="325"/>
      <c r="J265" s="325"/>
      <c r="K265" s="325"/>
      <c r="L265" s="15"/>
      <c r="M265" s="50"/>
      <c r="N265" s="50"/>
      <c r="O265" s="50"/>
      <c r="P265" s="50"/>
      <c r="Q265" s="50"/>
      <c r="R265" s="50"/>
      <c r="S265" s="50"/>
      <c r="T265" s="50"/>
      <c r="U265" s="50"/>
      <c r="V265" s="50"/>
      <c r="AC265" s="51"/>
      <c r="AD265" s="51"/>
      <c r="AE265" s="51"/>
      <c r="AF265" s="51"/>
      <c r="AG265" s="51"/>
      <c r="AH265" s="51"/>
      <c r="AI265" s="51"/>
      <c r="AJ265" s="51"/>
      <c r="AK265" s="51"/>
      <c r="AL265" s="51"/>
      <c r="AM265" s="51"/>
      <c r="AN265" s="51"/>
      <c r="AO265" s="51"/>
      <c r="AP265" s="51"/>
      <c r="AQ265" s="51"/>
      <c r="AR265" s="51"/>
      <c r="AS265" s="51"/>
      <c r="AW265" s="51"/>
      <c r="AX265" s="51"/>
      <c r="AY265" s="51"/>
      <c r="AZ265" s="51"/>
      <c r="BA265" s="51"/>
      <c r="BB265" s="51"/>
      <c r="BC265" s="51"/>
      <c r="BD265" s="51"/>
      <c r="BE265" s="51"/>
      <c r="BF265" s="51"/>
      <c r="BG265" s="51"/>
      <c r="BH265" s="51"/>
      <c r="BI265" s="51"/>
      <c r="BJ265" s="51"/>
      <c r="BK265" s="51"/>
      <c r="BL265" s="51"/>
      <c r="BM265" s="51"/>
    </row>
    <row r="266" spans="1:65" ht="15.75">
      <c r="B266" s="12" t="s">
        <v>353</v>
      </c>
      <c r="C266" s="148"/>
      <c r="D266" s="22"/>
      <c r="H266" s="10" t="str">
        <f>FRear.ULS.Landing&amp;"kN ="</f>
        <v>7,19kN =</v>
      </c>
      <c r="I266" s="28">
        <f>ROUNDDOWN(FRear.ULS.Landing,2)</f>
        <v>7.19</v>
      </c>
      <c r="J266" s="305"/>
      <c r="K266" s="305"/>
      <c r="L266" s="15"/>
      <c r="M266" s="50"/>
      <c r="N266" s="50"/>
      <c r="O266" s="50"/>
      <c r="P266" s="50"/>
      <c r="Q266" s="50"/>
      <c r="R266" s="50"/>
      <c r="S266" s="50"/>
      <c r="T266" s="50"/>
      <c r="U266" s="50"/>
      <c r="V266" s="50"/>
      <c r="AC266" s="51"/>
      <c r="AD266" s="51"/>
      <c r="AE266" s="51"/>
      <c r="AF266" s="51"/>
      <c r="AG266" s="51"/>
      <c r="AH266" s="51"/>
      <c r="AI266" s="51"/>
      <c r="AJ266" s="51"/>
      <c r="AK266" s="51"/>
      <c r="AL266" s="51"/>
      <c r="AM266" s="51"/>
      <c r="AN266" s="51"/>
      <c r="AO266" s="51"/>
      <c r="AP266" s="51"/>
      <c r="AQ266" s="51"/>
      <c r="AR266" s="51"/>
      <c r="AS266" s="51"/>
      <c r="AW266" s="51"/>
      <c r="AX266" s="51"/>
      <c r="AY266" s="51"/>
      <c r="AZ266" s="51"/>
      <c r="BA266" s="51"/>
      <c r="BB266" s="51"/>
      <c r="BC266" s="51"/>
      <c r="BD266" s="51"/>
      <c r="BE266" s="51"/>
      <c r="BF266" s="51"/>
      <c r="BG266" s="51"/>
      <c r="BH266" s="51"/>
      <c r="BI266" s="51"/>
      <c r="BJ266" s="51"/>
      <c r="BK266" s="51"/>
      <c r="BL266" s="51"/>
      <c r="BM266" s="51"/>
    </row>
    <row r="267" spans="1:65" ht="15.75">
      <c r="B267" s="12" t="s">
        <v>136</v>
      </c>
      <c r="C267" s="148"/>
      <c r="D267" s="22"/>
      <c r="H267" s="10" t="str">
        <f>FRear.ULS.Flight&amp;"kN +"&amp;FRear.ULS.Landing&amp;"kN ="</f>
        <v>-2,09kN +7,19kN =</v>
      </c>
      <c r="I267" s="28">
        <f>ROUNDDOWN(FRear.ULS.Flight+FRear.ULS.Landing,2)</f>
        <v>5.0999999999999996</v>
      </c>
      <c r="J267" s="11" t="str">
        <f>IF(I267&gt;100,"The vertical load exceeds the capacity of the steel unit","")</f>
        <v/>
      </c>
      <c r="K267" s="7"/>
      <c r="L267" s="15"/>
      <c r="M267" s="50"/>
      <c r="N267" s="50"/>
      <c r="O267" s="50"/>
      <c r="P267" s="50"/>
      <c r="Q267" s="50"/>
      <c r="R267" s="50"/>
      <c r="S267" s="50"/>
      <c r="T267" s="50"/>
      <c r="U267" s="50"/>
      <c r="V267" s="50"/>
      <c r="AC267" s="51"/>
      <c r="AD267" s="51"/>
      <c r="AE267" s="51"/>
      <c r="AF267" s="51"/>
      <c r="AG267" s="51"/>
      <c r="AH267" s="51"/>
      <c r="AI267" s="51"/>
      <c r="AJ267" s="51"/>
      <c r="AK267" s="51"/>
      <c r="AL267" s="51"/>
      <c r="AM267" s="51"/>
      <c r="AN267" s="51"/>
      <c r="AO267" s="51"/>
      <c r="AP267" s="51"/>
      <c r="AQ267" s="51"/>
      <c r="AR267" s="51"/>
      <c r="AS267" s="51"/>
      <c r="AW267" s="51"/>
      <c r="AX267" s="51"/>
      <c r="AY267" s="51"/>
      <c r="AZ267" s="51"/>
      <c r="BA267" s="51"/>
      <c r="BB267" s="51"/>
      <c r="BC267" s="51"/>
      <c r="BD267" s="51"/>
      <c r="BE267" s="51"/>
      <c r="BF267" s="51"/>
      <c r="BG267" s="51"/>
      <c r="BH267" s="51"/>
      <c r="BI267" s="51"/>
      <c r="BJ267" s="51"/>
      <c r="BK267" s="51"/>
      <c r="BL267" s="51"/>
      <c r="BM267" s="51"/>
    </row>
    <row r="268" spans="1:65" ht="15.75">
      <c r="B268" s="12" t="s">
        <v>137</v>
      </c>
      <c r="C268" s="149"/>
      <c r="D268" s="143"/>
      <c r="H268" s="10" t="str" cm="1">
        <f t="array" ref="H268">FFront.ULS.Flight&amp;"kN +"&amp;FFront.ULS.Landing&amp;"kN ="</f>
        <v>22,96kN +11,53kN =</v>
      </c>
      <c r="I268" s="28">
        <f>ROUNDDOWN(FFront.ULS.Flight + FFront.ULS.Landing,2)</f>
        <v>34.49</v>
      </c>
      <c r="J268" s="141" t="str">
        <f>IF(I268&gt;100,"The vertical load exceeds the capacity of the steel unit","")</f>
        <v/>
      </c>
      <c r="K268" s="7"/>
      <c r="L268" s="15"/>
      <c r="M268" s="50"/>
      <c r="N268" s="50"/>
      <c r="O268" s="50"/>
      <c r="P268" s="50"/>
      <c r="Q268" s="50"/>
      <c r="R268" s="50"/>
      <c r="S268" s="50"/>
      <c r="T268" s="50"/>
      <c r="U268" s="50"/>
      <c r="V268" s="50"/>
      <c r="AC268" s="51"/>
      <c r="AD268" s="51"/>
      <c r="AE268" s="51"/>
      <c r="AF268" s="51"/>
      <c r="AG268" s="51"/>
      <c r="AH268" s="51"/>
      <c r="AI268" s="51"/>
      <c r="AJ268" s="51"/>
      <c r="AK268" s="51"/>
      <c r="AL268" s="51"/>
      <c r="AM268" s="51"/>
      <c r="AN268" s="51"/>
      <c r="AO268" s="51"/>
      <c r="AP268" s="51"/>
      <c r="AQ268" s="51"/>
      <c r="AR268" s="51"/>
      <c r="AS268" s="51"/>
      <c r="AW268" s="51"/>
      <c r="AX268" s="51"/>
      <c r="AY268" s="51"/>
      <c r="AZ268" s="51"/>
      <c r="BA268" s="51"/>
      <c r="BB268" s="51"/>
      <c r="BC268" s="51"/>
      <c r="BD268" s="51"/>
      <c r="BE268" s="51"/>
      <c r="BF268" s="51"/>
      <c r="BG268" s="51"/>
      <c r="BH268" s="51"/>
      <c r="BI268" s="51"/>
      <c r="BJ268" s="51"/>
      <c r="BK268" s="51"/>
      <c r="BL268" s="51"/>
      <c r="BM268" s="51"/>
    </row>
    <row r="269" spans="1:65" ht="15.75">
      <c r="B269" s="145" t="s">
        <v>140</v>
      </c>
      <c r="C269" s="146" t="s">
        <v>156</v>
      </c>
      <c r="D269" s="157" t="str">
        <f>QTot.Landing.ULS+QTot.One.Flight.ULS/2*2&amp;"kN"</f>
        <v>79,18kN</v>
      </c>
      <c r="E269" s="56" t="s">
        <v>282</v>
      </c>
      <c r="H269" s="144" t="str">
        <f>"Total load on inserts: =2x"&amp;I267&amp;"kN+2x"&amp;I268&amp;"kN="</f>
        <v>Total load on inserts: =2x5,1kN+2x34,49kN=</v>
      </c>
      <c r="I269" s="157" t="str">
        <f>I267*2+I268*2&amp;"kN"</f>
        <v>79,18kN</v>
      </c>
      <c r="J269" s="34"/>
      <c r="K269" s="7"/>
      <c r="L269" s="15"/>
      <c r="M269" s="50"/>
      <c r="N269" s="50"/>
      <c r="O269" s="50"/>
      <c r="P269" s="50"/>
      <c r="Q269" s="50"/>
      <c r="R269" s="50"/>
      <c r="S269" s="50"/>
      <c r="T269" s="50"/>
      <c r="U269" s="50"/>
      <c r="V269" s="50"/>
      <c r="AC269" s="51"/>
      <c r="AD269" s="51"/>
      <c r="AE269" s="51"/>
      <c r="AF269" s="51"/>
      <c r="AG269" s="51"/>
      <c r="AH269" s="51"/>
      <c r="AI269" s="51"/>
      <c r="AJ269" s="51"/>
      <c r="AK269" s="51"/>
      <c r="AL269" s="51"/>
      <c r="AM269" s="51"/>
      <c r="AN269" s="51"/>
      <c r="AO269" s="51"/>
      <c r="AP269" s="51"/>
      <c r="AQ269" s="51"/>
      <c r="AR269" s="51"/>
      <c r="AS269" s="51"/>
      <c r="AW269" s="51"/>
      <c r="AX269" s="51"/>
      <c r="AY269" s="51"/>
      <c r="AZ269" s="51"/>
      <c r="BA269" s="51"/>
      <c r="BB269" s="51"/>
      <c r="BC269" s="51"/>
      <c r="BD269" s="51"/>
      <c r="BE269" s="51"/>
      <c r="BF269" s="51"/>
      <c r="BG269" s="51"/>
      <c r="BH269" s="51"/>
      <c r="BI269" s="51"/>
      <c r="BJ269" s="51"/>
      <c r="BK269" s="51"/>
      <c r="BL269" s="51"/>
      <c r="BM269" s="51"/>
    </row>
    <row r="270" spans="1:65" ht="15.75" thickBot="1">
      <c r="B270" s="322" t="s">
        <v>301</v>
      </c>
      <c r="C270" s="323"/>
      <c r="D270" s="323"/>
      <c r="E270" s="323"/>
      <c r="F270" s="323"/>
      <c r="G270" s="324"/>
      <c r="H270" s="325"/>
      <c r="I270" s="325"/>
      <c r="J270" s="325"/>
      <c r="K270" s="325"/>
      <c r="L270" s="15"/>
      <c r="M270" s="50"/>
      <c r="N270" s="50"/>
      <c r="O270" s="50"/>
      <c r="P270" s="50"/>
      <c r="Q270" s="50"/>
      <c r="R270" s="50"/>
      <c r="S270" s="50"/>
      <c r="T270" s="50"/>
      <c r="U270" s="50"/>
      <c r="V270" s="50"/>
      <c r="AC270" s="51"/>
      <c r="AD270" s="51"/>
      <c r="AE270" s="51"/>
      <c r="AF270" s="51"/>
      <c r="AG270" s="51"/>
      <c r="AH270" s="51"/>
      <c r="AI270" s="51"/>
      <c r="AJ270" s="51"/>
      <c r="AK270" s="51"/>
      <c r="AL270" s="51"/>
      <c r="AM270" s="51"/>
      <c r="AN270" s="51"/>
      <c r="AO270" s="51"/>
      <c r="AP270" s="51"/>
      <c r="AQ270" s="51"/>
      <c r="AR270" s="51"/>
      <c r="AS270" s="51"/>
      <c r="AW270" s="51"/>
      <c r="AX270" s="51"/>
      <c r="AY270" s="51"/>
      <c r="AZ270" s="51"/>
      <c r="BA270" s="51"/>
      <c r="BB270" s="51"/>
      <c r="BC270" s="51"/>
      <c r="BD270" s="51"/>
      <c r="BE270" s="51"/>
      <c r="BF270" s="51"/>
      <c r="BG270" s="51"/>
      <c r="BH270" s="51"/>
      <c r="BI270" s="51"/>
      <c r="BJ270" s="51"/>
      <c r="BK270" s="51"/>
      <c r="BL270" s="51"/>
      <c r="BM270" s="51"/>
    </row>
    <row r="271" spans="1:65" ht="15">
      <c r="B271" s="13" t="s">
        <v>302</v>
      </c>
      <c r="J271" s="11"/>
      <c r="K271" s="7"/>
      <c r="L271" s="15"/>
      <c r="M271" s="50"/>
      <c r="N271" s="50"/>
      <c r="O271" s="50"/>
      <c r="P271" s="50"/>
      <c r="Q271" s="50"/>
      <c r="R271" s="50"/>
      <c r="S271" s="50"/>
      <c r="T271" s="50"/>
      <c r="U271" s="50"/>
      <c r="V271" s="50"/>
      <c r="AC271" s="51"/>
      <c r="AD271" s="51"/>
      <c r="AE271" s="51"/>
      <c r="AF271" s="51"/>
      <c r="AG271" s="51"/>
      <c r="AH271" s="51"/>
      <c r="AI271" s="51"/>
      <c r="AJ271" s="51"/>
      <c r="AK271" s="51"/>
      <c r="AL271" s="51"/>
      <c r="AM271" s="51"/>
      <c r="AN271" s="51"/>
      <c r="AO271" s="51"/>
      <c r="AP271" s="51"/>
      <c r="AQ271" s="51"/>
      <c r="AR271" s="51"/>
      <c r="AS271" s="51"/>
      <c r="AW271" s="51"/>
      <c r="AX271" s="51"/>
      <c r="AY271" s="51"/>
      <c r="AZ271" s="51"/>
      <c r="BA271" s="51"/>
      <c r="BB271" s="51"/>
      <c r="BC271" s="51"/>
      <c r="BD271" s="51"/>
      <c r="BE271" s="51"/>
      <c r="BF271" s="51"/>
      <c r="BG271" s="51"/>
      <c r="BH271" s="51"/>
      <c r="BI271" s="51"/>
      <c r="BJ271" s="51"/>
      <c r="BK271" s="51"/>
      <c r="BL271" s="51"/>
      <c r="BM271" s="51"/>
    </row>
    <row r="272" spans="1:65" ht="19.5">
      <c r="B272" s="13" t="s">
        <v>325</v>
      </c>
      <c r="C272" s="23"/>
      <c r="E272" s="10" t="s">
        <v>323</v>
      </c>
      <c r="F272" s="270" t="str">
        <f>""&amp;ROUND(QTot.Flights.ALS,2)&amp;"kN + "&amp;ROUND(QTot.Landing.ALS,2)&amp;"kN ="</f>
        <v>28,94kN + 25,11kN =</v>
      </c>
      <c r="I272" s="17">
        <f>QTot.Flights.ALS+QTot.Landing.ALS</f>
        <v>54.05</v>
      </c>
      <c r="J272" s="11"/>
      <c r="K272" s="7"/>
      <c r="L272" s="15"/>
      <c r="M272" s="50"/>
      <c r="N272" s="50"/>
      <c r="O272" s="50"/>
      <c r="P272" s="50"/>
      <c r="Q272" s="50"/>
      <c r="R272" s="50"/>
      <c r="S272" s="50"/>
      <c r="T272" s="50"/>
      <c r="U272" s="50"/>
      <c r="V272" s="50"/>
      <c r="AC272" s="51"/>
      <c r="AD272" s="51"/>
      <c r="AE272" s="51"/>
      <c r="AF272" s="51"/>
      <c r="AG272" s="51"/>
      <c r="AH272" s="51"/>
      <c r="AI272" s="51"/>
      <c r="AJ272" s="51"/>
      <c r="AK272" s="51"/>
      <c r="AL272" s="51"/>
      <c r="AM272" s="51"/>
      <c r="AN272" s="51"/>
      <c r="AO272" s="51"/>
      <c r="AP272" s="51"/>
      <c r="AQ272" s="51"/>
      <c r="AR272" s="51"/>
      <c r="AS272" s="51"/>
      <c r="AW272" s="51"/>
      <c r="AX272" s="51"/>
      <c r="AY272" s="51"/>
      <c r="AZ272" s="51"/>
      <c r="BA272" s="51"/>
      <c r="BB272" s="51"/>
      <c r="BC272" s="51"/>
      <c r="BD272" s="51"/>
      <c r="BE272" s="51"/>
      <c r="BF272" s="51"/>
      <c r="BG272" s="51"/>
      <c r="BH272" s="51"/>
      <c r="BI272" s="51"/>
      <c r="BJ272" s="51"/>
      <c r="BK272" s="51"/>
      <c r="BL272" s="51"/>
      <c r="BM272" s="51"/>
    </row>
    <row r="273" spans="2:65" ht="19.5">
      <c r="B273" s="12" t="s">
        <v>153</v>
      </c>
      <c r="C273" s="4"/>
      <c r="E273" s="10" t="s">
        <v>324</v>
      </c>
      <c r="F273" s="270" t="str">
        <f>"["&amp;ROUND(QTot.All.Inserts.Landing.ALS,2)&amp;"kN ∙"&amp;ad&amp;"/"&amp;gv&amp;"]/2="</f>
        <v>[54,05kN ∙9,81/9,81]/2=</v>
      </c>
      <c r="G273" s="137"/>
      <c r="I273" s="28">
        <f>(QTot.All.Inserts.Landing.ALS/2)*(ad/gv)</f>
        <v>27.024999999999999</v>
      </c>
      <c r="J273" s="279"/>
      <c r="K273" s="7"/>
      <c r="L273" s="15"/>
      <c r="M273" s="50"/>
      <c r="N273" s="50"/>
      <c r="O273" s="50"/>
      <c r="P273" s="50"/>
      <c r="Q273" s="50"/>
      <c r="R273" s="50"/>
      <c r="S273" s="50"/>
      <c r="T273" s="50"/>
      <c r="U273" s="50"/>
      <c r="V273" s="50"/>
      <c r="AC273" s="51"/>
      <c r="AD273" s="51"/>
      <c r="AE273" s="51"/>
      <c r="AF273" s="51"/>
      <c r="AG273" s="51"/>
      <c r="AH273" s="51"/>
      <c r="AI273" s="51"/>
      <c r="AJ273" s="51"/>
      <c r="AK273" s="51"/>
      <c r="AL273" s="51"/>
      <c r="AM273" s="51"/>
      <c r="AN273" s="51"/>
      <c r="AO273" s="51"/>
      <c r="AP273" s="51"/>
      <c r="AQ273" s="51"/>
      <c r="AR273" s="51"/>
      <c r="AS273" s="51"/>
      <c r="AW273" s="51"/>
      <c r="AX273" s="51"/>
      <c r="AY273" s="51"/>
      <c r="AZ273" s="51"/>
      <c r="BA273" s="51"/>
      <c r="BB273" s="51"/>
      <c r="BC273" s="51"/>
      <c r="BD273" s="51"/>
      <c r="BE273" s="51"/>
      <c r="BF273" s="51"/>
      <c r="BG273" s="51"/>
      <c r="BH273" s="51"/>
      <c r="BI273" s="51"/>
      <c r="BJ273" s="51"/>
      <c r="BK273" s="51"/>
      <c r="BL273" s="51"/>
      <c r="BM273" s="51"/>
    </row>
    <row r="274" spans="2:65" ht="19.5">
      <c r="B274" s="12" t="s">
        <v>152</v>
      </c>
      <c r="C274" s="23"/>
      <c r="E274" s="10" t="s">
        <v>352</v>
      </c>
      <c r="F274" s="270" t="str">
        <f>ROUND(FFront.ALS.Flight,2)&amp;"kN + "&amp;ROUND(FFront.ALS.Landing,2)&amp;"kN ="</f>
        <v>25,4kN + 7,73kN =</v>
      </c>
      <c r="I274" s="28">
        <f>FFront.ALS.Flight+FFront.ALS.Landing</f>
        <v>33.129999999999995</v>
      </c>
      <c r="J274" s="17"/>
      <c r="K274" s="35"/>
      <c r="L274" s="15"/>
      <c r="M274" s="50"/>
      <c r="N274" s="50"/>
      <c r="O274" s="50"/>
      <c r="P274" s="50"/>
      <c r="Q274" s="50"/>
      <c r="R274" s="50"/>
      <c r="S274" s="50"/>
      <c r="T274" s="50"/>
      <c r="U274" s="50"/>
      <c r="V274" s="50"/>
      <c r="AC274" s="51"/>
      <c r="AD274" s="51"/>
      <c r="AE274" s="51"/>
      <c r="AF274" s="51"/>
      <c r="AG274" s="51"/>
      <c r="AH274" s="51"/>
      <c r="AI274" s="51"/>
      <c r="AJ274" s="51"/>
      <c r="AK274" s="51"/>
      <c r="AL274" s="51"/>
      <c r="AM274" s="51"/>
      <c r="AN274" s="51"/>
      <c r="AO274" s="51"/>
      <c r="AP274" s="51"/>
      <c r="AQ274" s="51"/>
      <c r="AR274" s="51"/>
      <c r="AS274" s="51"/>
      <c r="AW274" s="51"/>
      <c r="AX274" s="51"/>
      <c r="AY274" s="51"/>
      <c r="AZ274" s="51"/>
      <c r="BA274" s="51"/>
      <c r="BB274" s="51"/>
      <c r="BC274" s="51"/>
      <c r="BD274" s="51"/>
      <c r="BE274" s="51"/>
      <c r="BF274" s="51"/>
      <c r="BG274" s="51"/>
      <c r="BH274" s="51"/>
      <c r="BI274" s="51"/>
      <c r="BJ274" s="51"/>
      <c r="BK274" s="51"/>
      <c r="BL274" s="51"/>
      <c r="BM274" s="51"/>
    </row>
    <row r="275" spans="2:65" ht="15.75">
      <c r="B275" s="12"/>
      <c r="C275" s="23"/>
      <c r="D275" s="22"/>
      <c r="E275" s="10"/>
      <c r="F275" s="28"/>
      <c r="G275" s="11"/>
      <c r="H275" s="11"/>
      <c r="I275" s="16"/>
      <c r="J275" s="34"/>
      <c r="K275" s="35"/>
      <c r="L275" s="15"/>
      <c r="M275" s="50"/>
      <c r="N275" s="50"/>
      <c r="O275" s="50"/>
      <c r="P275" s="50"/>
      <c r="Q275" s="50"/>
      <c r="R275" s="50"/>
      <c r="S275" s="50"/>
      <c r="T275" s="50"/>
      <c r="U275" s="50"/>
      <c r="V275" s="50"/>
      <c r="AC275" s="51"/>
      <c r="AD275" s="51"/>
      <c r="AE275" s="51"/>
      <c r="AF275" s="51"/>
      <c r="AG275" s="51"/>
      <c r="AH275" s="51"/>
      <c r="AI275" s="51"/>
      <c r="AJ275" s="51"/>
      <c r="AK275" s="51"/>
      <c r="AL275" s="51"/>
      <c r="AM275" s="51"/>
      <c r="AN275" s="51"/>
      <c r="AO275" s="51"/>
      <c r="AP275" s="51"/>
      <c r="AQ275" s="51"/>
      <c r="AR275" s="51"/>
      <c r="AS275" s="51"/>
      <c r="AW275" s="51"/>
      <c r="AX275" s="51"/>
      <c r="AY275" s="51"/>
      <c r="AZ275" s="51"/>
      <c r="BA275" s="51"/>
      <c r="BB275" s="51"/>
      <c r="BC275" s="51"/>
      <c r="BD275" s="51"/>
      <c r="BE275" s="51"/>
      <c r="BF275" s="51"/>
      <c r="BG275" s="51"/>
      <c r="BH275" s="51"/>
      <c r="BI275" s="51"/>
      <c r="BJ275" s="51"/>
      <c r="BK275" s="51"/>
      <c r="BL275" s="51"/>
      <c r="BM275" s="51"/>
    </row>
    <row r="276" spans="2:65" ht="15.75">
      <c r="B276" s="152" t="s">
        <v>281</v>
      </c>
      <c r="C276" s="153"/>
      <c r="D276" s="153"/>
      <c r="E276" s="153"/>
      <c r="F276" s="153"/>
      <c r="G276" s="153"/>
      <c r="H276" s="153"/>
      <c r="I276" s="153"/>
      <c r="J276" s="153"/>
      <c r="K276" s="374" t="s">
        <v>194</v>
      </c>
      <c r="L276" s="375"/>
      <c r="M276" s="50"/>
      <c r="N276" s="50"/>
      <c r="O276" s="50"/>
      <c r="P276" s="50"/>
      <c r="Q276" s="50"/>
      <c r="R276" s="50"/>
      <c r="S276" s="50"/>
      <c r="T276" s="50"/>
      <c r="U276" s="50"/>
      <c r="V276" s="50"/>
      <c r="AC276" s="51"/>
      <c r="AD276" s="51"/>
      <c r="AE276" s="51"/>
      <c r="AF276" s="51"/>
      <c r="AG276" s="51"/>
      <c r="AH276" s="51"/>
      <c r="AI276" s="51"/>
      <c r="AJ276" s="51"/>
      <c r="AK276" s="51"/>
      <c r="AL276" s="51"/>
      <c r="AM276" s="51"/>
      <c r="AN276" s="51"/>
      <c r="AO276" s="51"/>
      <c r="AP276" s="51"/>
      <c r="AQ276" s="51"/>
      <c r="AR276" s="51"/>
      <c r="AS276" s="51"/>
      <c r="AW276" s="51"/>
      <c r="AX276" s="51"/>
      <c r="AY276" s="51"/>
      <c r="AZ276" s="51"/>
      <c r="BA276" s="51"/>
      <c r="BB276" s="51"/>
      <c r="BC276" s="51"/>
      <c r="BD276" s="51"/>
      <c r="BE276" s="51"/>
      <c r="BF276" s="51"/>
      <c r="BG276" s="51"/>
      <c r="BH276" s="51"/>
      <c r="BI276" s="51"/>
      <c r="BJ276" s="51"/>
      <c r="BK276" s="51"/>
      <c r="BL276" s="51"/>
      <c r="BM276" s="51"/>
    </row>
    <row r="277" spans="2:65" ht="15.75">
      <c r="B277" s="88"/>
      <c r="C277" s="23"/>
      <c r="D277" s="22"/>
      <c r="E277" s="10"/>
      <c r="F277" s="28"/>
      <c r="G277" s="11"/>
      <c r="H277" s="11"/>
      <c r="I277" s="16"/>
      <c r="J277" s="34"/>
      <c r="K277" s="35"/>
      <c r="L277" s="15"/>
      <c r="M277" s="50"/>
      <c r="N277" s="50"/>
      <c r="O277" s="50"/>
      <c r="P277" s="50"/>
      <c r="Q277" s="50"/>
      <c r="R277" s="50"/>
      <c r="S277" s="50"/>
      <c r="T277" s="50"/>
      <c r="U277" s="50"/>
      <c r="V277" s="50"/>
      <c r="AC277" s="51"/>
      <c r="AD277" s="51"/>
      <c r="AE277" s="51"/>
      <c r="AF277" s="51"/>
      <c r="AG277" s="51"/>
      <c r="AH277" s="51"/>
      <c r="AI277" s="51"/>
      <c r="AJ277" s="51"/>
      <c r="AK277" s="51"/>
      <c r="AL277" s="51"/>
      <c r="AM277" s="51"/>
      <c r="AN277" s="51"/>
      <c r="AO277" s="51"/>
      <c r="AP277" s="51"/>
      <c r="AQ277" s="51"/>
      <c r="AR277" s="51"/>
      <c r="AS277" s="51"/>
      <c r="AW277" s="51"/>
      <c r="AX277" s="51"/>
      <c r="AY277" s="51"/>
      <c r="AZ277" s="51"/>
      <c r="BA277" s="51"/>
      <c r="BB277" s="51"/>
      <c r="BC277" s="51"/>
      <c r="BD277" s="51"/>
      <c r="BE277" s="51"/>
      <c r="BF277" s="51"/>
      <c r="BG277" s="51"/>
      <c r="BH277" s="51"/>
      <c r="BI277" s="51"/>
      <c r="BJ277" s="51"/>
      <c r="BK277" s="51"/>
      <c r="BL277" s="51"/>
      <c r="BM277" s="51"/>
    </row>
    <row r="278" spans="2:65" ht="15.75" customHeight="1">
      <c r="B278" s="385" t="s">
        <v>171</v>
      </c>
      <c r="C278" s="386"/>
      <c r="D278" s="386"/>
      <c r="E278" s="386"/>
      <c r="F278" s="386"/>
      <c r="G278" s="386"/>
      <c r="H278" s="16"/>
      <c r="I278" s="16"/>
      <c r="J278" s="34"/>
      <c r="K278" s="35"/>
      <c r="L278" s="15"/>
      <c r="M278" s="50"/>
      <c r="N278" s="50"/>
      <c r="O278" s="50"/>
      <c r="P278" s="50"/>
      <c r="Q278" s="50"/>
      <c r="R278" s="50"/>
      <c r="S278" s="50"/>
      <c r="T278" s="50"/>
      <c r="U278" s="50"/>
      <c r="V278" s="50"/>
      <c r="AC278" s="51"/>
      <c r="AD278" s="51"/>
      <c r="AE278" s="51"/>
      <c r="AF278" s="51"/>
      <c r="AG278" s="51"/>
      <c r="AH278" s="51"/>
      <c r="AI278" s="51"/>
      <c r="AJ278" s="51"/>
      <c r="AK278" s="51"/>
      <c r="AL278" s="51"/>
      <c r="AM278" s="51"/>
      <c r="AN278" s="51"/>
      <c r="AO278" s="51"/>
      <c r="AP278" s="51"/>
      <c r="AQ278" s="51"/>
      <c r="AR278" s="51"/>
      <c r="AS278" s="51"/>
      <c r="AW278" s="51"/>
      <c r="AX278" s="51"/>
      <c r="AY278" s="51"/>
      <c r="AZ278" s="51"/>
      <c r="BA278" s="51"/>
      <c r="BB278" s="51"/>
      <c r="BC278" s="51"/>
      <c r="BD278" s="51"/>
      <c r="BE278" s="51"/>
      <c r="BF278" s="51"/>
      <c r="BG278" s="51"/>
      <c r="BH278" s="51"/>
      <c r="BI278" s="51"/>
      <c r="BJ278" s="51"/>
      <c r="BK278" s="51"/>
      <c r="BL278" s="51"/>
      <c r="BM278" s="51"/>
    </row>
    <row r="279" spans="2:65" ht="15.75" customHeight="1">
      <c r="B279" s="208" t="s">
        <v>157</v>
      </c>
      <c r="C279" s="379" t="s">
        <v>220</v>
      </c>
      <c r="D279" s="380"/>
      <c r="E279" s="381"/>
      <c r="F279" s="203">
        <v>355</v>
      </c>
      <c r="G279" s="369" t="s">
        <v>167</v>
      </c>
      <c r="I279" s="16"/>
      <c r="J279" s="34"/>
      <c r="K279" s="35"/>
      <c r="L279" s="15"/>
      <c r="M279" s="50"/>
      <c r="N279" s="50"/>
      <c r="O279" s="50"/>
      <c r="P279" s="50"/>
      <c r="Q279" s="50"/>
      <c r="R279" s="50"/>
      <c r="S279" s="50"/>
      <c r="T279" s="50"/>
      <c r="U279" s="50"/>
      <c r="V279" s="50"/>
      <c r="AC279" s="51"/>
      <c r="AD279" s="51"/>
      <c r="AE279" s="51"/>
      <c r="AF279" s="51"/>
      <c r="AG279" s="51"/>
      <c r="AH279" s="51"/>
      <c r="AI279" s="51"/>
      <c r="AJ279" s="51"/>
      <c r="AK279" s="51"/>
      <c r="AL279" s="51"/>
      <c r="AM279" s="51"/>
      <c r="AN279" s="51"/>
      <c r="AO279" s="51"/>
      <c r="AP279" s="51"/>
      <c r="AQ279" s="51"/>
      <c r="AR279" s="51"/>
      <c r="AS279" s="51"/>
      <c r="AW279" s="51"/>
      <c r="AX279" s="51"/>
      <c r="AY279" s="51"/>
      <c r="AZ279" s="51"/>
      <c r="BA279" s="51"/>
      <c r="BB279" s="51"/>
      <c r="BC279" s="51"/>
      <c r="BD279" s="51"/>
      <c r="BE279" s="51"/>
      <c r="BF279" s="51"/>
      <c r="BG279" s="51"/>
      <c r="BH279" s="51"/>
      <c r="BI279" s="51"/>
      <c r="BJ279" s="51"/>
      <c r="BK279" s="51"/>
      <c r="BL279" s="51"/>
      <c r="BM279" s="51"/>
    </row>
    <row r="280" spans="2:65" ht="16.5">
      <c r="B280" s="209" t="s">
        <v>158</v>
      </c>
      <c r="C280" s="382"/>
      <c r="D280" s="383"/>
      <c r="E280" s="384"/>
      <c r="F280" s="204">
        <v>470</v>
      </c>
      <c r="G280" s="370"/>
      <c r="I280" s="16"/>
      <c r="J280" s="34"/>
      <c r="K280" s="35"/>
      <c r="L280" s="15"/>
      <c r="M280" s="50"/>
      <c r="N280" s="50"/>
      <c r="O280" s="50"/>
      <c r="P280" s="50"/>
      <c r="Q280" s="50"/>
      <c r="R280" s="50"/>
      <c r="S280" s="50"/>
      <c r="T280" s="50"/>
      <c r="U280" s="50"/>
      <c r="V280" s="50"/>
      <c r="AC280" s="51"/>
      <c r="AD280" s="51"/>
      <c r="AE280" s="51"/>
      <c r="AF280" s="51"/>
      <c r="AG280" s="51"/>
      <c r="AH280" s="51"/>
      <c r="AI280" s="51"/>
      <c r="AJ280" s="51"/>
      <c r="AK280" s="51"/>
      <c r="AL280" s="51"/>
      <c r="AM280" s="51"/>
      <c r="AN280" s="51"/>
      <c r="AO280" s="51"/>
      <c r="AP280" s="51"/>
      <c r="AQ280" s="51"/>
      <c r="AR280" s="51"/>
      <c r="AS280" s="51"/>
      <c r="AW280" s="51"/>
      <c r="AX280" s="51"/>
      <c r="AY280" s="51"/>
      <c r="AZ280" s="51"/>
      <c r="BA280" s="51"/>
      <c r="BB280" s="51"/>
      <c r="BC280" s="51"/>
      <c r="BD280" s="51"/>
      <c r="BE280" s="51"/>
      <c r="BF280" s="51"/>
      <c r="BG280" s="51"/>
      <c r="BH280" s="51"/>
      <c r="BI280" s="51"/>
      <c r="BJ280" s="51"/>
      <c r="BK280" s="51"/>
      <c r="BL280" s="51"/>
      <c r="BM280" s="51"/>
    </row>
    <row r="281" spans="2:65" ht="18">
      <c r="B281" s="210" t="s">
        <v>159</v>
      </c>
      <c r="C281" s="364" t="s">
        <v>163</v>
      </c>
      <c r="D281" s="365"/>
      <c r="E281" s="365"/>
      <c r="F281" s="205">
        <v>1.05</v>
      </c>
      <c r="G281" s="206" t="s">
        <v>22</v>
      </c>
      <c r="H281" s="156"/>
      <c r="I281" s="16"/>
      <c r="J281" s="34"/>
      <c r="K281" s="35"/>
      <c r="L281" s="15"/>
      <c r="M281" s="50"/>
      <c r="N281" s="50"/>
      <c r="O281" s="50"/>
      <c r="P281" s="50"/>
      <c r="Q281" s="50"/>
      <c r="R281" s="50"/>
      <c r="S281" s="50"/>
      <c r="T281" s="50"/>
      <c r="U281" s="50"/>
      <c r="V281" s="50"/>
      <c r="AC281" s="51"/>
      <c r="AD281" s="51"/>
      <c r="AE281" s="51"/>
      <c r="AF281" s="51"/>
      <c r="AG281" s="51"/>
      <c r="AH281" s="51"/>
      <c r="AI281" s="51"/>
      <c r="AJ281" s="51"/>
      <c r="AK281" s="51"/>
      <c r="AL281" s="51"/>
      <c r="AM281" s="51"/>
      <c r="AN281" s="51"/>
      <c r="AO281" s="51"/>
      <c r="AP281" s="51"/>
      <c r="AQ281" s="51"/>
      <c r="AR281" s="51"/>
      <c r="AS281" s="51"/>
      <c r="AW281" s="51"/>
      <c r="AX281" s="51"/>
      <c r="AY281" s="51"/>
      <c r="AZ281" s="51"/>
      <c r="BA281" s="51"/>
      <c r="BB281" s="51"/>
      <c r="BC281" s="51"/>
      <c r="BD281" s="51"/>
      <c r="BE281" s="51"/>
      <c r="BF281" s="51"/>
      <c r="BG281" s="51"/>
      <c r="BH281" s="51"/>
      <c r="BI281" s="51"/>
      <c r="BJ281" s="51"/>
      <c r="BK281" s="51"/>
      <c r="BL281" s="51"/>
      <c r="BM281" s="51"/>
    </row>
    <row r="282" spans="2:65" ht="15.75">
      <c r="B282" s="351" t="s">
        <v>172</v>
      </c>
      <c r="C282" s="352"/>
      <c r="D282" s="352"/>
      <c r="E282" s="352"/>
      <c r="F282" s="352"/>
      <c r="G282" s="353"/>
      <c r="H282" s="16"/>
      <c r="I282" s="16"/>
      <c r="J282" s="34"/>
      <c r="K282" s="35"/>
      <c r="L282" s="15"/>
      <c r="M282" s="50"/>
      <c r="N282" s="50"/>
      <c r="O282" s="50"/>
      <c r="P282" s="50"/>
      <c r="Q282" s="50"/>
      <c r="R282" s="50"/>
      <c r="S282" s="50"/>
      <c r="T282" s="50"/>
      <c r="U282" s="50"/>
      <c r="V282" s="50"/>
      <c r="AC282" s="51"/>
      <c r="AD282" s="51"/>
      <c r="AE282" s="51"/>
      <c r="AF282" s="51"/>
      <c r="AG282" s="51"/>
      <c r="AH282" s="51"/>
      <c r="AI282" s="51"/>
      <c r="AJ282" s="51"/>
      <c r="AK282" s="51"/>
      <c r="AL282" s="51"/>
      <c r="AM282" s="51"/>
      <c r="AN282" s="51"/>
      <c r="AO282" s="51"/>
      <c r="AP282" s="51"/>
      <c r="AQ282" s="51"/>
      <c r="AR282" s="51"/>
      <c r="AS282" s="51"/>
      <c r="AW282" s="51"/>
      <c r="AX282" s="51"/>
      <c r="AY282" s="51"/>
      <c r="AZ282" s="51"/>
      <c r="BA282" s="51"/>
      <c r="BB282" s="51"/>
      <c r="BC282" s="51"/>
      <c r="BD282" s="51"/>
      <c r="BE282" s="51"/>
      <c r="BF282" s="51"/>
      <c r="BG282" s="51"/>
      <c r="BH282" s="51"/>
      <c r="BI282" s="51"/>
      <c r="BJ282" s="51"/>
      <c r="BK282" s="51"/>
      <c r="BL282" s="51"/>
      <c r="BM282" s="51"/>
    </row>
    <row r="283" spans="2:65" ht="17.25" customHeight="1">
      <c r="B283" s="367" t="s">
        <v>192</v>
      </c>
      <c r="C283" s="368"/>
      <c r="D283" s="207"/>
      <c r="E283" s="359" t="s">
        <v>197</v>
      </c>
      <c r="F283" s="359"/>
      <c r="G283" s="360"/>
      <c r="H283" s="16"/>
      <c r="I283" s="16"/>
      <c r="J283" s="34"/>
      <c r="K283" s="35"/>
      <c r="L283" s="15"/>
      <c r="M283" s="50"/>
      <c r="N283" s="50"/>
      <c r="O283" s="50"/>
      <c r="P283" s="50"/>
      <c r="Q283" s="50"/>
      <c r="R283" s="50"/>
      <c r="S283" s="50"/>
      <c r="T283" s="50"/>
      <c r="U283" s="50"/>
      <c r="V283" s="50"/>
      <c r="AC283" s="51"/>
      <c r="AD283" s="51"/>
      <c r="AE283" s="51"/>
      <c r="AF283" s="51"/>
      <c r="AG283" s="51"/>
      <c r="AH283" s="51"/>
      <c r="AI283" s="51"/>
      <c r="AJ283" s="51"/>
      <c r="AK283" s="51"/>
      <c r="AL283" s="51"/>
      <c r="AM283" s="51"/>
      <c r="AN283" s="51"/>
      <c r="AO283" s="51"/>
      <c r="AP283" s="51"/>
      <c r="AQ283" s="51"/>
      <c r="AR283" s="51"/>
      <c r="AS283" s="51"/>
      <c r="AW283" s="51"/>
      <c r="AX283" s="51"/>
      <c r="AY283" s="51"/>
      <c r="AZ283" s="51"/>
      <c r="BA283" s="51"/>
      <c r="BB283" s="51"/>
      <c r="BC283" s="51"/>
      <c r="BD283" s="51"/>
      <c r="BE283" s="51"/>
      <c r="BF283" s="51"/>
      <c r="BG283" s="51"/>
      <c r="BH283" s="51"/>
      <c r="BI283" s="51"/>
      <c r="BJ283" s="51"/>
      <c r="BK283" s="51"/>
      <c r="BL283" s="51"/>
      <c r="BM283" s="51"/>
    </row>
    <row r="284" spans="2:65" ht="19.5">
      <c r="B284" s="208" t="s">
        <v>239</v>
      </c>
      <c r="C284" s="361" t="s">
        <v>160</v>
      </c>
      <c r="D284" s="362"/>
      <c r="E284" s="363"/>
      <c r="F284" s="203">
        <v>1560</v>
      </c>
      <c r="G284" s="227" t="s">
        <v>166</v>
      </c>
      <c r="I284" s="16"/>
      <c r="J284" s="34"/>
      <c r="K284" s="35"/>
      <c r="L284" s="15"/>
      <c r="M284" s="50"/>
      <c r="N284" s="50"/>
      <c r="O284" s="50"/>
      <c r="P284" s="50"/>
      <c r="Q284" s="50"/>
      <c r="R284" s="50"/>
      <c r="S284" s="50"/>
      <c r="T284" s="50"/>
      <c r="U284" s="50"/>
      <c r="V284" s="50"/>
      <c r="AC284" s="51"/>
      <c r="AD284" s="51"/>
      <c r="AE284" s="51"/>
      <c r="AF284" s="51"/>
      <c r="AG284" s="51"/>
      <c r="AH284" s="51"/>
      <c r="AI284" s="51"/>
      <c r="AJ284" s="51"/>
      <c r="AK284" s="51"/>
      <c r="AL284" s="51"/>
      <c r="AM284" s="51"/>
      <c r="AN284" s="51"/>
      <c r="AO284" s="51"/>
      <c r="AP284" s="51"/>
      <c r="AQ284" s="51"/>
      <c r="AR284" s="51"/>
      <c r="AS284" s="51"/>
      <c r="AW284" s="51"/>
      <c r="AX284" s="51"/>
      <c r="AY284" s="51"/>
      <c r="AZ284" s="51"/>
      <c r="BA284" s="51"/>
      <c r="BB284" s="51"/>
      <c r="BC284" s="51"/>
      <c r="BD284" s="51"/>
      <c r="BE284" s="51"/>
      <c r="BF284" s="51"/>
      <c r="BG284" s="51"/>
      <c r="BH284" s="51"/>
      <c r="BI284" s="51"/>
      <c r="BJ284" s="51"/>
      <c r="BK284" s="51"/>
      <c r="BL284" s="51"/>
      <c r="BM284" s="51"/>
    </row>
    <row r="285" spans="2:65" ht="19.5">
      <c r="B285" s="211" t="s">
        <v>240</v>
      </c>
      <c r="C285" s="361" t="s">
        <v>161</v>
      </c>
      <c r="D285" s="362"/>
      <c r="E285" s="363"/>
      <c r="F285" s="213">
        <v>295</v>
      </c>
      <c r="G285" s="228" t="s">
        <v>28</v>
      </c>
      <c r="I285" s="16"/>
      <c r="J285" s="34"/>
      <c r="K285" s="35"/>
      <c r="L285" s="15"/>
      <c r="M285" s="50"/>
      <c r="N285" s="50"/>
      <c r="O285" s="50"/>
      <c r="P285" s="50"/>
      <c r="Q285" s="50"/>
      <c r="R285" s="50"/>
      <c r="S285" s="50"/>
      <c r="T285" s="50"/>
      <c r="U285" s="50"/>
      <c r="V285" s="50"/>
      <c r="AC285" s="51"/>
      <c r="AD285" s="51"/>
      <c r="AE285" s="51"/>
      <c r="AF285" s="51"/>
      <c r="AG285" s="51"/>
      <c r="AH285" s="51"/>
      <c r="AI285" s="51"/>
      <c r="AJ285" s="51"/>
      <c r="AK285" s="51"/>
      <c r="AL285" s="51"/>
      <c r="AM285" s="51"/>
      <c r="AN285" s="51"/>
      <c r="AO285" s="51"/>
      <c r="AP285" s="51"/>
      <c r="AQ285" s="51"/>
      <c r="AR285" s="51"/>
      <c r="AS285" s="51"/>
      <c r="AW285" s="51"/>
      <c r="AX285" s="51"/>
      <c r="AY285" s="51"/>
      <c r="AZ285" s="51"/>
      <c r="BA285" s="51"/>
      <c r="BB285" s="51"/>
      <c r="BC285" s="51"/>
      <c r="BD285" s="51"/>
      <c r="BE285" s="51"/>
      <c r="BF285" s="51"/>
      <c r="BG285" s="51"/>
      <c r="BH285" s="51"/>
      <c r="BI285" s="51"/>
      <c r="BJ285" s="51"/>
      <c r="BK285" s="51"/>
      <c r="BL285" s="51"/>
      <c r="BM285" s="51"/>
    </row>
    <row r="286" spans="2:65" ht="19.5">
      <c r="B286" s="209" t="s">
        <v>241</v>
      </c>
      <c r="C286" s="364" t="s">
        <v>162</v>
      </c>
      <c r="D286" s="365"/>
      <c r="E286" s="366"/>
      <c r="F286" s="214">
        <v>110</v>
      </c>
      <c r="G286" s="229" t="s">
        <v>28</v>
      </c>
      <c r="I286" s="22"/>
      <c r="J286" s="34"/>
      <c r="K286" s="35"/>
      <c r="L286" s="15"/>
      <c r="M286" s="50"/>
      <c r="N286" s="50"/>
      <c r="O286" s="50"/>
      <c r="P286" s="50"/>
      <c r="Q286" s="50"/>
      <c r="R286" s="50"/>
      <c r="S286" s="50"/>
      <c r="T286" s="50"/>
      <c r="U286" s="50"/>
      <c r="V286" s="50"/>
      <c r="AC286" s="51"/>
      <c r="AD286" s="51"/>
      <c r="AE286" s="51"/>
      <c r="AF286" s="51"/>
      <c r="AG286" s="51"/>
      <c r="AH286" s="51"/>
      <c r="AI286" s="51"/>
      <c r="AJ286" s="51"/>
      <c r="AK286" s="51"/>
      <c r="AL286" s="51"/>
      <c r="AM286" s="51"/>
      <c r="AN286" s="51"/>
      <c r="AO286" s="51"/>
      <c r="AP286" s="51"/>
      <c r="AQ286" s="51"/>
      <c r="AR286" s="51"/>
      <c r="AS286" s="51"/>
      <c r="AW286" s="51"/>
      <c r="AX286" s="51"/>
      <c r="AY286" s="51"/>
      <c r="AZ286" s="51"/>
      <c r="BA286" s="51"/>
      <c r="BB286" s="51"/>
      <c r="BC286" s="51"/>
      <c r="BD286" s="51"/>
      <c r="BE286" s="51"/>
      <c r="BF286" s="51"/>
      <c r="BG286" s="51"/>
      <c r="BH286" s="51"/>
      <c r="BI286" s="51"/>
      <c r="BJ286" s="51"/>
      <c r="BK286" s="51"/>
      <c r="BL286" s="51"/>
      <c r="BM286" s="51"/>
    </row>
    <row r="287" spans="2:65" ht="19.5">
      <c r="B287" s="208" t="s">
        <v>243</v>
      </c>
      <c r="C287" s="361" t="s">
        <v>186</v>
      </c>
      <c r="D287" s="362"/>
      <c r="E287" s="363"/>
      <c r="F287" s="203">
        <v>100</v>
      </c>
      <c r="G287" s="227" t="s">
        <v>28</v>
      </c>
      <c r="I287" s="22"/>
      <c r="J287" s="34"/>
      <c r="K287" s="35"/>
      <c r="L287" s="15"/>
      <c r="M287" s="50"/>
      <c r="N287" s="50"/>
      <c r="O287" s="50"/>
      <c r="P287" s="50"/>
      <c r="Q287" s="50"/>
      <c r="R287" s="50"/>
      <c r="S287" s="50"/>
      <c r="T287" s="50"/>
      <c r="U287" s="50"/>
      <c r="V287" s="50"/>
      <c r="AC287" s="51"/>
      <c r="AD287" s="51"/>
      <c r="AE287" s="51"/>
      <c r="AF287" s="51"/>
      <c r="AG287" s="51"/>
      <c r="AH287" s="51"/>
      <c r="AI287" s="51"/>
      <c r="AJ287" s="51"/>
      <c r="AK287" s="51"/>
      <c r="AL287" s="51"/>
      <c r="AM287" s="51"/>
      <c r="AN287" s="51"/>
      <c r="AO287" s="51"/>
      <c r="AP287" s="51"/>
      <c r="AQ287" s="51"/>
      <c r="AR287" s="51"/>
      <c r="AS287" s="51"/>
      <c r="AW287" s="51"/>
      <c r="AX287" s="51"/>
      <c r="AY287" s="51"/>
      <c r="AZ287" s="51"/>
      <c r="BA287" s="51"/>
      <c r="BB287" s="51"/>
      <c r="BC287" s="51"/>
      <c r="BD287" s="51"/>
      <c r="BE287" s="51"/>
      <c r="BF287" s="51"/>
      <c r="BG287" s="51"/>
      <c r="BH287" s="51"/>
      <c r="BI287" s="51"/>
      <c r="BJ287" s="51"/>
      <c r="BK287" s="51"/>
      <c r="BL287" s="51"/>
      <c r="BM287" s="51"/>
    </row>
    <row r="288" spans="2:65" ht="19.5">
      <c r="B288" s="211" t="s">
        <v>242</v>
      </c>
      <c r="C288" s="361" t="s">
        <v>187</v>
      </c>
      <c r="D288" s="362"/>
      <c r="E288" s="363"/>
      <c r="F288" s="213">
        <v>50</v>
      </c>
      <c r="G288" s="228" t="s">
        <v>28</v>
      </c>
      <c r="I288" s="22"/>
      <c r="J288" s="34"/>
      <c r="K288" s="35"/>
      <c r="L288" s="15"/>
      <c r="M288" s="50"/>
      <c r="N288" s="50"/>
      <c r="O288" s="50"/>
      <c r="P288" s="50"/>
      <c r="Q288" s="50"/>
      <c r="R288" s="50"/>
      <c r="S288" s="50"/>
      <c r="T288" s="50"/>
      <c r="U288" s="50"/>
      <c r="V288" s="50"/>
      <c r="AC288" s="51"/>
      <c r="AD288" s="51"/>
      <c r="AE288" s="51"/>
      <c r="AF288" s="51"/>
      <c r="AG288" s="51"/>
      <c r="AH288" s="51"/>
      <c r="AI288" s="51"/>
      <c r="AJ288" s="51"/>
      <c r="AK288" s="51"/>
      <c r="AL288" s="51"/>
      <c r="AM288" s="51"/>
      <c r="AN288" s="51"/>
      <c r="AO288" s="51"/>
      <c r="AP288" s="51"/>
      <c r="AQ288" s="51"/>
      <c r="AR288" s="51"/>
      <c r="AS288" s="51"/>
      <c r="AW288" s="51"/>
      <c r="AX288" s="51"/>
      <c r="AY288" s="51"/>
      <c r="AZ288" s="51"/>
      <c r="BA288" s="51"/>
      <c r="BB288" s="51"/>
      <c r="BC288" s="51"/>
      <c r="BD288" s="51"/>
      <c r="BE288" s="51"/>
      <c r="BF288" s="51"/>
      <c r="BG288" s="51"/>
      <c r="BH288" s="51"/>
      <c r="BI288" s="51"/>
      <c r="BJ288" s="51"/>
      <c r="BK288" s="51"/>
      <c r="BL288" s="51"/>
      <c r="BM288" s="51"/>
    </row>
    <row r="289" spans="2:65" ht="19.5">
      <c r="B289" s="209" t="s">
        <v>244</v>
      </c>
      <c r="C289" s="364" t="s">
        <v>188</v>
      </c>
      <c r="D289" s="365"/>
      <c r="E289" s="366"/>
      <c r="F289" s="214">
        <v>6</v>
      </c>
      <c r="G289" s="229" t="s">
        <v>28</v>
      </c>
      <c r="I289" s="22"/>
      <c r="J289" s="34"/>
      <c r="K289" s="35"/>
      <c r="L289" s="15"/>
      <c r="M289" s="50"/>
      <c r="N289" s="50"/>
      <c r="O289" s="50"/>
      <c r="P289" s="50"/>
      <c r="Q289" s="50"/>
      <c r="R289" s="50"/>
      <c r="S289" s="50"/>
      <c r="T289" s="50"/>
      <c r="U289" s="50"/>
      <c r="V289" s="50"/>
      <c r="AC289" s="51"/>
      <c r="AD289" s="51"/>
      <c r="AE289" s="51"/>
      <c r="AF289" s="51"/>
      <c r="AG289" s="51"/>
      <c r="AH289" s="51"/>
      <c r="AI289" s="51"/>
      <c r="AJ289" s="51"/>
      <c r="AK289" s="51"/>
      <c r="AL289" s="51"/>
      <c r="AM289" s="51"/>
      <c r="AN289" s="51"/>
      <c r="AO289" s="51"/>
      <c r="AP289" s="51"/>
      <c r="AQ289" s="51"/>
      <c r="AR289" s="51"/>
      <c r="AS289" s="51"/>
      <c r="AW289" s="51"/>
      <c r="AX289" s="51"/>
      <c r="AY289" s="51"/>
      <c r="AZ289" s="51"/>
      <c r="BA289" s="51"/>
      <c r="BB289" s="51"/>
      <c r="BC289" s="51"/>
      <c r="BD289" s="51"/>
      <c r="BE289" s="51"/>
      <c r="BF289" s="51"/>
      <c r="BG289" s="51"/>
      <c r="BH289" s="51"/>
      <c r="BI289" s="51"/>
      <c r="BJ289" s="51"/>
      <c r="BK289" s="51"/>
      <c r="BL289" s="51"/>
      <c r="BM289" s="51"/>
    </row>
    <row r="290" spans="2:65" ht="15">
      <c r="B290" s="208" t="s">
        <v>164</v>
      </c>
      <c r="C290" s="390" t="s">
        <v>165</v>
      </c>
      <c r="D290" s="391"/>
      <c r="E290" s="392"/>
      <c r="F290" s="203">
        <v>115</v>
      </c>
      <c r="G290" s="227" t="s">
        <v>28</v>
      </c>
      <c r="I290" s="22"/>
      <c r="J290" s="34"/>
      <c r="K290" s="35"/>
      <c r="L290" s="15"/>
      <c r="M290" s="50"/>
      <c r="N290" s="50"/>
      <c r="O290" s="50"/>
      <c r="P290" s="50"/>
      <c r="Q290" s="50"/>
      <c r="R290" s="50"/>
      <c r="S290" s="50"/>
      <c r="T290" s="50"/>
      <c r="U290" s="50"/>
      <c r="V290" s="50"/>
      <c r="AC290" s="51"/>
      <c r="AD290" s="51"/>
      <c r="AE290" s="51"/>
      <c r="AF290" s="51"/>
      <c r="AG290" s="51"/>
      <c r="AH290" s="51"/>
      <c r="AI290" s="51"/>
      <c r="AJ290" s="51"/>
      <c r="AK290" s="51"/>
      <c r="AL290" s="51"/>
      <c r="AM290" s="51"/>
      <c r="AN290" s="51"/>
      <c r="AO290" s="51"/>
      <c r="AP290" s="51"/>
      <c r="AQ290" s="51"/>
      <c r="AR290" s="51"/>
      <c r="AS290" s="51"/>
      <c r="AW290" s="51"/>
      <c r="AX290" s="51"/>
      <c r="AY290" s="51"/>
      <c r="AZ290" s="51"/>
      <c r="BA290" s="51"/>
      <c r="BB290" s="51"/>
      <c r="BC290" s="51"/>
      <c r="BD290" s="51"/>
      <c r="BE290" s="51"/>
      <c r="BF290" s="51"/>
      <c r="BG290" s="51"/>
      <c r="BH290" s="51"/>
      <c r="BI290" s="51"/>
      <c r="BJ290" s="51"/>
      <c r="BK290" s="51"/>
      <c r="BL290" s="51"/>
      <c r="BM290" s="51"/>
    </row>
    <row r="291" spans="2:65" ht="15">
      <c r="B291" s="209" t="s">
        <v>168</v>
      </c>
      <c r="C291" s="396" t="s">
        <v>169</v>
      </c>
      <c r="D291" s="397"/>
      <c r="E291" s="398"/>
      <c r="F291" s="214">
        <v>135</v>
      </c>
      <c r="G291" s="229" t="s">
        <v>28</v>
      </c>
      <c r="I291" s="34"/>
      <c r="J291" s="34"/>
      <c r="K291" s="34"/>
      <c r="L291" s="15"/>
      <c r="M291" s="50"/>
      <c r="N291" s="50"/>
      <c r="O291" s="50"/>
      <c r="P291" s="50"/>
      <c r="Q291" s="50"/>
      <c r="R291" s="50"/>
      <c r="S291" s="50"/>
      <c r="T291" s="50"/>
      <c r="U291" s="50"/>
      <c r="V291" s="50"/>
      <c r="AC291" s="51"/>
      <c r="AD291" s="51"/>
      <c r="AE291" s="51"/>
      <c r="AF291" s="51"/>
      <c r="AG291" s="51"/>
      <c r="AH291" s="51"/>
      <c r="AI291" s="51"/>
      <c r="AJ291" s="51"/>
      <c r="AK291" s="51"/>
      <c r="AL291" s="51"/>
      <c r="AM291" s="51"/>
      <c r="AN291" s="51"/>
      <c r="AO291" s="51"/>
      <c r="AP291" s="51"/>
      <c r="AQ291" s="51"/>
      <c r="AR291" s="51"/>
      <c r="AS291" s="51"/>
      <c r="AW291" s="51"/>
      <c r="AX291" s="51"/>
      <c r="AY291" s="51"/>
      <c r="AZ291" s="51"/>
      <c r="BA291" s="51"/>
      <c r="BB291" s="51"/>
      <c r="BC291" s="51"/>
      <c r="BD291" s="51"/>
      <c r="BE291" s="51"/>
      <c r="BF291" s="51"/>
      <c r="BG291" s="51"/>
      <c r="BH291" s="51"/>
      <c r="BI291" s="51"/>
      <c r="BJ291" s="51"/>
      <c r="BK291" s="51"/>
      <c r="BL291" s="51"/>
      <c r="BM291" s="51"/>
    </row>
    <row r="292" spans="2:65" ht="19.5">
      <c r="B292" s="208" t="s">
        <v>245</v>
      </c>
      <c r="C292" s="393" t="s">
        <v>176</v>
      </c>
      <c r="D292" s="394"/>
      <c r="E292" s="395"/>
      <c r="F292" s="203">
        <v>75</v>
      </c>
      <c r="G292" s="206" t="s">
        <v>28</v>
      </c>
      <c r="I292" s="34"/>
      <c r="J292" s="34"/>
      <c r="K292" s="34"/>
      <c r="L292" s="15"/>
      <c r="M292" s="50"/>
      <c r="N292" s="50"/>
      <c r="O292" s="50"/>
      <c r="P292" s="50"/>
      <c r="Q292" s="50"/>
      <c r="R292" s="50"/>
      <c r="S292" s="50"/>
      <c r="T292" s="50"/>
      <c r="U292" s="50"/>
      <c r="V292" s="50"/>
      <c r="AC292" s="51"/>
      <c r="AD292" s="51"/>
      <c r="AE292" s="51"/>
      <c r="AF292" s="51"/>
      <c r="AG292" s="51"/>
      <c r="AH292" s="51"/>
      <c r="AI292" s="51"/>
      <c r="AJ292" s="51"/>
      <c r="AK292" s="51"/>
      <c r="AL292" s="51"/>
      <c r="AM292" s="51"/>
      <c r="AN292" s="51"/>
      <c r="AO292" s="51"/>
      <c r="AP292" s="51"/>
      <c r="AQ292" s="51"/>
      <c r="AR292" s="51"/>
      <c r="AS292" s="51"/>
      <c r="AW292" s="51"/>
      <c r="AX292" s="51"/>
      <c r="AY292" s="51"/>
      <c r="AZ292" s="51"/>
      <c r="BA292" s="51"/>
      <c r="BB292" s="51"/>
      <c r="BC292" s="51"/>
      <c r="BD292" s="51"/>
      <c r="BE292" s="51"/>
      <c r="BF292" s="51"/>
      <c r="BG292" s="51"/>
      <c r="BH292" s="51"/>
      <c r="BI292" s="51"/>
      <c r="BJ292" s="51"/>
      <c r="BK292" s="51"/>
      <c r="BL292" s="51"/>
      <c r="BM292" s="51"/>
    </row>
    <row r="293" spans="2:65" ht="20.25" customHeight="1">
      <c r="B293" s="210" t="s">
        <v>201</v>
      </c>
      <c r="C293" s="364" t="s">
        <v>219</v>
      </c>
      <c r="D293" s="365"/>
      <c r="E293" s="366"/>
      <c r="F293" s="212">
        <v>40</v>
      </c>
      <c r="G293" s="206" t="s">
        <v>28</v>
      </c>
      <c r="I293" s="34"/>
      <c r="J293" s="34"/>
      <c r="K293" s="34"/>
      <c r="L293" s="15"/>
      <c r="M293" s="50"/>
      <c r="N293" s="50"/>
      <c r="O293" s="50"/>
      <c r="P293" s="50"/>
      <c r="Q293" s="50"/>
      <c r="R293" s="50"/>
      <c r="S293" s="50"/>
      <c r="T293" s="50"/>
      <c r="U293" s="50"/>
      <c r="V293" s="50"/>
      <c r="AC293" s="51"/>
      <c r="AD293" s="51"/>
      <c r="AE293" s="51"/>
      <c r="AF293" s="51"/>
      <c r="AG293" s="51"/>
      <c r="AH293" s="51"/>
      <c r="AI293" s="51"/>
      <c r="AJ293" s="51"/>
      <c r="AK293" s="51"/>
      <c r="AL293" s="51"/>
      <c r="AM293" s="51"/>
      <c r="AN293" s="51"/>
      <c r="AO293" s="51"/>
      <c r="AP293" s="51"/>
      <c r="AQ293" s="51"/>
      <c r="AR293" s="51"/>
      <c r="AS293" s="51"/>
      <c r="AW293" s="51"/>
      <c r="AX293" s="51"/>
      <c r="AY293" s="51"/>
      <c r="AZ293" s="51"/>
      <c r="BA293" s="51"/>
      <c r="BB293" s="51"/>
      <c r="BC293" s="51"/>
      <c r="BD293" s="51"/>
      <c r="BE293" s="51"/>
      <c r="BF293" s="51"/>
      <c r="BG293" s="51"/>
      <c r="BH293" s="51"/>
      <c r="BI293" s="51"/>
      <c r="BJ293" s="51"/>
      <c r="BK293" s="51"/>
      <c r="BL293" s="51"/>
      <c r="BM293" s="51"/>
    </row>
    <row r="294" spans="2:65" ht="15" customHeight="1">
      <c r="B294" s="351" t="s">
        <v>190</v>
      </c>
      <c r="C294" s="352"/>
      <c r="D294" s="352"/>
      <c r="E294" s="352"/>
      <c r="F294" s="352"/>
      <c r="G294" s="353"/>
      <c r="H294" s="16"/>
      <c r="I294" s="34"/>
      <c r="J294" s="34"/>
      <c r="K294" s="34"/>
      <c r="L294" s="15"/>
      <c r="M294" s="50"/>
      <c r="N294" s="50"/>
      <c r="O294" s="50"/>
      <c r="P294" s="50"/>
      <c r="Q294" s="50"/>
      <c r="R294" s="50"/>
      <c r="S294" s="50"/>
      <c r="T294" s="50"/>
      <c r="U294" s="50"/>
      <c r="V294" s="50"/>
      <c r="AC294" s="51"/>
      <c r="AD294" s="51"/>
      <c r="AE294" s="51"/>
      <c r="AF294" s="51"/>
      <c r="AG294" s="51"/>
      <c r="AH294" s="51"/>
      <c r="AI294" s="51"/>
      <c r="AJ294" s="51"/>
      <c r="AK294" s="51"/>
      <c r="AL294" s="51"/>
      <c r="AM294" s="51"/>
      <c r="AN294" s="51"/>
      <c r="AO294" s="51"/>
      <c r="AP294" s="51"/>
      <c r="AQ294" s="51"/>
      <c r="AR294" s="51"/>
      <c r="AS294" s="51"/>
      <c r="AW294" s="51"/>
      <c r="AX294" s="51"/>
      <c r="AY294" s="51"/>
      <c r="AZ294" s="51"/>
      <c r="BA294" s="51"/>
      <c r="BB294" s="51"/>
      <c r="BC294" s="51"/>
      <c r="BD294" s="51"/>
      <c r="BE294" s="51"/>
      <c r="BF294" s="51"/>
      <c r="BG294" s="51"/>
      <c r="BH294" s="51"/>
      <c r="BI294" s="51"/>
      <c r="BJ294" s="51"/>
      <c r="BK294" s="51"/>
      <c r="BL294" s="51"/>
      <c r="BM294" s="51"/>
    </row>
    <row r="295" spans="2:65" ht="19.5">
      <c r="B295" s="218" t="s">
        <v>218</v>
      </c>
      <c r="C295" s="390" t="s">
        <v>170</v>
      </c>
      <c r="D295" s="391"/>
      <c r="E295" s="392"/>
      <c r="F295" s="235">
        <f>ROUND(I274,2)</f>
        <v>33.130000000000003</v>
      </c>
      <c r="G295" s="227" t="s">
        <v>173</v>
      </c>
      <c r="I295" s="34"/>
      <c r="J295" s="34"/>
      <c r="K295" s="34"/>
      <c r="L295" s="15"/>
      <c r="M295" s="50"/>
      <c r="N295" s="50"/>
      <c r="O295" s="50"/>
      <c r="P295" s="50"/>
      <c r="Q295" s="50"/>
      <c r="R295" s="50"/>
      <c r="S295" s="50"/>
      <c r="T295" s="50"/>
      <c r="U295" s="50"/>
      <c r="V295" s="50"/>
      <c r="AC295" s="51"/>
      <c r="AD295" s="51"/>
      <c r="AE295" s="51"/>
      <c r="AF295" s="51"/>
      <c r="AG295" s="51"/>
      <c r="AH295" s="51"/>
      <c r="AI295" s="51"/>
      <c r="AJ295" s="51"/>
      <c r="AK295" s="51"/>
      <c r="AL295" s="51"/>
      <c r="AM295" s="51"/>
      <c r="AN295" s="51"/>
      <c r="AO295" s="51"/>
      <c r="AP295" s="51"/>
      <c r="AQ295" s="51"/>
      <c r="AR295" s="51"/>
      <c r="AS295" s="51"/>
      <c r="AW295" s="51"/>
      <c r="AX295" s="51"/>
      <c r="AY295" s="51"/>
      <c r="AZ295" s="51"/>
      <c r="BA295" s="51"/>
      <c r="BB295" s="51"/>
      <c r="BC295" s="51"/>
      <c r="BD295" s="51"/>
      <c r="BE295" s="51"/>
      <c r="BF295" s="51"/>
      <c r="BG295" s="51"/>
      <c r="BH295" s="51"/>
      <c r="BI295" s="51"/>
      <c r="BJ295" s="51"/>
      <c r="BK295" s="51"/>
      <c r="BL295" s="51"/>
      <c r="BM295" s="51"/>
    </row>
    <row r="296" spans="2:65" ht="19.5">
      <c r="B296" s="209" t="s">
        <v>221</v>
      </c>
      <c r="C296" s="396" t="s">
        <v>174</v>
      </c>
      <c r="D296" s="397"/>
      <c r="E296" s="398"/>
      <c r="F296" s="235">
        <f>ROUND(I273,2)</f>
        <v>27.03</v>
      </c>
      <c r="G296" s="229" t="s">
        <v>173</v>
      </c>
      <c r="I296" s="34"/>
      <c r="J296" s="34"/>
      <c r="K296" s="34"/>
      <c r="L296" s="15"/>
      <c r="M296" s="50"/>
      <c r="N296" s="50"/>
      <c r="O296" s="50"/>
      <c r="P296" s="50"/>
      <c r="Q296" s="50"/>
      <c r="R296" s="50"/>
      <c r="S296" s="50"/>
      <c r="T296" s="50"/>
      <c r="U296" s="50"/>
      <c r="V296" s="50"/>
      <c r="AC296" s="51"/>
      <c r="AD296" s="51"/>
      <c r="AE296" s="51"/>
      <c r="AF296" s="51"/>
      <c r="AG296" s="51"/>
      <c r="AH296" s="51"/>
      <c r="AI296" s="51"/>
      <c r="AJ296" s="51"/>
      <c r="AK296" s="51"/>
      <c r="AL296" s="51"/>
      <c r="AM296" s="51"/>
      <c r="AN296" s="51"/>
      <c r="AO296" s="51"/>
      <c r="AP296" s="51"/>
      <c r="AQ296" s="51"/>
      <c r="AR296" s="51"/>
      <c r="AS296" s="51"/>
      <c r="AW296" s="51"/>
      <c r="AX296" s="51"/>
      <c r="AY296" s="51"/>
      <c r="AZ296" s="51"/>
      <c r="BA296" s="51"/>
      <c r="BB296" s="51"/>
      <c r="BC296" s="51"/>
      <c r="BD296" s="51"/>
      <c r="BE296" s="51"/>
      <c r="BF296" s="51"/>
      <c r="BG296" s="51"/>
      <c r="BH296" s="51"/>
      <c r="BI296" s="51"/>
      <c r="BJ296" s="51"/>
      <c r="BK296" s="51"/>
      <c r="BL296" s="51"/>
      <c r="BM296" s="51"/>
    </row>
    <row r="297" spans="2:65" ht="15" customHeight="1">
      <c r="B297" s="351" t="s">
        <v>175</v>
      </c>
      <c r="C297" s="352"/>
      <c r="D297" s="352"/>
      <c r="E297" s="352"/>
      <c r="F297" s="352"/>
      <c r="G297" s="353"/>
      <c r="H297" s="23"/>
      <c r="I297" s="34"/>
      <c r="J297" s="34"/>
      <c r="K297" s="34"/>
      <c r="L297" s="15"/>
      <c r="M297" s="50"/>
      <c r="N297" s="50"/>
      <c r="O297" s="50"/>
      <c r="P297" s="50"/>
      <c r="Q297" s="50"/>
      <c r="R297" s="50"/>
      <c r="S297" s="50"/>
      <c r="T297" s="50"/>
      <c r="U297" s="50"/>
      <c r="V297" s="50"/>
      <c r="AC297" s="51"/>
      <c r="AD297" s="51"/>
      <c r="AE297" s="51"/>
      <c r="AF297" s="51"/>
      <c r="AG297" s="51"/>
      <c r="AH297" s="51"/>
      <c r="AI297" s="51"/>
      <c r="AJ297" s="51"/>
      <c r="AK297" s="51"/>
      <c r="AL297" s="51"/>
      <c r="AM297" s="51"/>
      <c r="AN297" s="51"/>
      <c r="AO297" s="51"/>
      <c r="AP297" s="51"/>
      <c r="AQ297" s="51"/>
      <c r="AR297" s="51"/>
      <c r="AS297" s="51"/>
      <c r="AW297" s="51"/>
      <c r="AX297" s="51"/>
      <c r="AY297" s="51"/>
      <c r="AZ297" s="51"/>
      <c r="BA297" s="51"/>
      <c r="BB297" s="51"/>
      <c r="BC297" s="51"/>
      <c r="BD297" s="51"/>
      <c r="BE297" s="51"/>
      <c r="BF297" s="51"/>
      <c r="BG297" s="51"/>
      <c r="BH297" s="51"/>
      <c r="BI297" s="51"/>
      <c r="BJ297" s="51"/>
      <c r="BK297" s="51"/>
      <c r="BL297" s="51"/>
      <c r="BM297" s="51"/>
    </row>
    <row r="298" spans="2:65" ht="19.5">
      <c r="B298" s="208" t="s">
        <v>246</v>
      </c>
      <c r="C298" s="403" t="s">
        <v>226</v>
      </c>
      <c r="D298" s="404"/>
      <c r="E298" s="405"/>
      <c r="F298" s="236">
        <f>FvEd*(bstjerne+astjerne)/bstjerne</f>
        <v>61.351851851851855</v>
      </c>
      <c r="G298" s="227" t="s">
        <v>173</v>
      </c>
      <c r="I298" s="22"/>
      <c r="J298" s="34"/>
      <c r="K298" s="35"/>
      <c r="L298" s="15"/>
      <c r="M298" s="50"/>
      <c r="N298" s="50"/>
      <c r="O298" s="50"/>
      <c r="P298" s="50"/>
      <c r="Q298" s="50"/>
      <c r="R298" s="50"/>
      <c r="S298" s="50"/>
      <c r="T298" s="50"/>
      <c r="U298" s="50"/>
      <c r="V298" s="50"/>
      <c r="AC298" s="51"/>
      <c r="AD298" s="51"/>
      <c r="AE298" s="51"/>
      <c r="AF298" s="51"/>
      <c r="AG298" s="51"/>
      <c r="AH298" s="51"/>
      <c r="AI298" s="51"/>
      <c r="AJ298" s="51"/>
      <c r="AK298" s="51"/>
      <c r="AL298" s="51"/>
      <c r="AM298" s="51"/>
      <c r="AN298" s="51"/>
      <c r="AO298" s="51"/>
      <c r="AP298" s="51"/>
      <c r="AQ298" s="51"/>
      <c r="AR298" s="51"/>
      <c r="AS298" s="51"/>
      <c r="AW298" s="51"/>
      <c r="AX298" s="51"/>
      <c r="AY298" s="51"/>
      <c r="AZ298" s="51"/>
      <c r="BA298" s="51"/>
      <c r="BB298" s="51"/>
      <c r="BC298" s="51"/>
      <c r="BD298" s="51"/>
      <c r="BE298" s="51"/>
      <c r="BF298" s="51"/>
      <c r="BG298" s="51"/>
      <c r="BH298" s="51"/>
      <c r="BI298" s="51"/>
      <c r="BJ298" s="51"/>
      <c r="BK298" s="51"/>
      <c r="BL298" s="51"/>
      <c r="BM298" s="51"/>
    </row>
    <row r="299" spans="2:65" ht="19.5">
      <c r="B299" s="209" t="s">
        <v>247</v>
      </c>
      <c r="C299" s="406" t="s">
        <v>227</v>
      </c>
      <c r="D299" s="407"/>
      <c r="E299" s="408"/>
      <c r="F299" s="237">
        <f>FvEd*astjerne/bstjerne</f>
        <v>28.221851851851852</v>
      </c>
      <c r="G299" s="229" t="s">
        <v>173</v>
      </c>
      <c r="I299" s="22"/>
      <c r="J299" s="34"/>
      <c r="K299" s="35"/>
      <c r="L299" s="15"/>
      <c r="M299" s="50"/>
      <c r="N299" s="50"/>
      <c r="O299" s="50"/>
      <c r="P299" s="50"/>
      <c r="Q299" s="50"/>
      <c r="R299" s="50"/>
      <c r="S299" s="50"/>
      <c r="T299" s="50"/>
      <c r="U299" s="50"/>
      <c r="V299" s="50"/>
      <c r="AC299" s="51"/>
      <c r="AD299" s="51"/>
      <c r="AE299" s="51"/>
      <c r="AF299" s="51"/>
      <c r="AG299" s="51"/>
      <c r="AH299" s="51"/>
      <c r="AI299" s="51"/>
      <c r="AJ299" s="51"/>
      <c r="AK299" s="51"/>
      <c r="AL299" s="51"/>
      <c r="AM299" s="51"/>
      <c r="AN299" s="51"/>
      <c r="AO299" s="51"/>
      <c r="AP299" s="51"/>
      <c r="AQ299" s="51"/>
      <c r="AR299" s="51"/>
      <c r="AS299" s="51"/>
      <c r="AW299" s="51"/>
      <c r="AX299" s="51"/>
      <c r="AY299" s="51"/>
      <c r="AZ299" s="51"/>
      <c r="BA299" s="51"/>
      <c r="BB299" s="51"/>
      <c r="BC299" s="51"/>
      <c r="BD299" s="51"/>
      <c r="BE299" s="51"/>
      <c r="BF299" s="51"/>
      <c r="BG299" s="51"/>
      <c r="BH299" s="51"/>
      <c r="BI299" s="51"/>
      <c r="BJ299" s="51"/>
      <c r="BK299" s="51"/>
      <c r="BL299" s="51"/>
      <c r="BM299" s="51"/>
    </row>
    <row r="300" spans="2:65" ht="19.5">
      <c r="B300" s="208" t="s">
        <v>248</v>
      </c>
      <c r="C300" s="409" t="s">
        <v>228</v>
      </c>
      <c r="D300" s="410"/>
      <c r="E300" s="411"/>
      <c r="F300" s="236">
        <f>FHEd*(bstjerne+astjerne)/bstjerne</f>
        <v>50.055555555555557</v>
      </c>
      <c r="G300" s="227" t="s">
        <v>173</v>
      </c>
      <c r="I300" s="22"/>
      <c r="J300" s="34"/>
      <c r="K300" s="35"/>
      <c r="L300" s="15"/>
      <c r="M300" s="50"/>
      <c r="N300" s="50"/>
      <c r="O300" s="50"/>
      <c r="P300" s="50"/>
      <c r="Q300" s="50"/>
      <c r="R300" s="50"/>
      <c r="S300" s="50"/>
      <c r="T300" s="50"/>
      <c r="U300" s="50"/>
      <c r="V300" s="50"/>
      <c r="AC300" s="51"/>
      <c r="AD300" s="51"/>
      <c r="AE300" s="51"/>
      <c r="AF300" s="51"/>
      <c r="AG300" s="51"/>
      <c r="AH300" s="51"/>
      <c r="AI300" s="51"/>
      <c r="AJ300" s="51"/>
      <c r="AK300" s="51"/>
      <c r="AL300" s="51"/>
      <c r="AM300" s="51"/>
      <c r="AN300" s="51"/>
      <c r="AO300" s="51"/>
      <c r="AP300" s="51"/>
      <c r="AQ300" s="51"/>
      <c r="AR300" s="51"/>
      <c r="AS300" s="51"/>
      <c r="AW300" s="51"/>
      <c r="AX300" s="51"/>
      <c r="AY300" s="51"/>
      <c r="AZ300" s="51"/>
      <c r="BA300" s="51"/>
      <c r="BB300" s="51"/>
      <c r="BC300" s="51"/>
      <c r="BD300" s="51"/>
      <c r="BE300" s="51"/>
      <c r="BF300" s="51"/>
      <c r="BG300" s="51"/>
      <c r="BH300" s="51"/>
      <c r="BI300" s="51"/>
      <c r="BJ300" s="51"/>
      <c r="BK300" s="51"/>
      <c r="BL300" s="51"/>
      <c r="BM300" s="51"/>
    </row>
    <row r="301" spans="2:65" ht="19.5">
      <c r="B301" s="209" t="s">
        <v>249</v>
      </c>
      <c r="C301" s="412" t="s">
        <v>229</v>
      </c>
      <c r="D301" s="407"/>
      <c r="E301" s="408"/>
      <c r="F301" s="237">
        <f>FHEd*astjerne/bstjerne</f>
        <v>23.025555555555556</v>
      </c>
      <c r="G301" s="229" t="s">
        <v>173</v>
      </c>
      <c r="I301" s="22"/>
      <c r="J301" s="34"/>
      <c r="K301" s="35"/>
      <c r="L301" s="15"/>
      <c r="M301" s="50"/>
      <c r="N301" s="50"/>
      <c r="O301" s="50"/>
      <c r="P301" s="50"/>
      <c r="Q301" s="50"/>
      <c r="R301" s="50"/>
      <c r="S301" s="50"/>
      <c r="T301" s="50"/>
      <c r="U301" s="50"/>
      <c r="V301" s="50"/>
      <c r="AC301" s="51"/>
      <c r="AD301" s="51"/>
      <c r="AE301" s="51"/>
      <c r="AF301" s="51"/>
      <c r="AG301" s="51"/>
      <c r="AH301" s="51"/>
      <c r="AI301" s="51"/>
      <c r="AJ301" s="51"/>
      <c r="AK301" s="51"/>
      <c r="AL301" s="51"/>
      <c r="AM301" s="51"/>
      <c r="AN301" s="51"/>
      <c r="AO301" s="51"/>
      <c r="AP301" s="51"/>
      <c r="AQ301" s="51"/>
      <c r="AR301" s="51"/>
      <c r="AS301" s="51"/>
      <c r="AW301" s="51"/>
      <c r="AX301" s="51"/>
      <c r="AY301" s="51"/>
      <c r="AZ301" s="51"/>
      <c r="BA301" s="51"/>
      <c r="BB301" s="51"/>
      <c r="BC301" s="51"/>
      <c r="BD301" s="51"/>
      <c r="BE301" s="51"/>
      <c r="BF301" s="51"/>
      <c r="BG301" s="51"/>
      <c r="BH301" s="51"/>
      <c r="BI301" s="51"/>
      <c r="BJ301" s="51"/>
      <c r="BK301" s="51"/>
      <c r="BL301" s="51"/>
      <c r="BM301" s="51"/>
    </row>
    <row r="302" spans="2:65" ht="18.75">
      <c r="B302" s="351" t="s">
        <v>217</v>
      </c>
      <c r="C302" s="352"/>
      <c r="D302" s="352"/>
      <c r="E302" s="352"/>
      <c r="F302" s="352"/>
      <c r="G302" s="353"/>
      <c r="H302" s="23"/>
      <c r="I302" s="22"/>
      <c r="J302" s="34"/>
      <c r="K302" s="35"/>
      <c r="L302" s="15"/>
      <c r="M302" s="50"/>
      <c r="N302" s="50"/>
      <c r="O302" s="50"/>
      <c r="P302" s="50"/>
      <c r="Q302" s="50"/>
      <c r="R302" s="50"/>
      <c r="S302" s="50"/>
      <c r="T302" s="50"/>
      <c r="U302" s="50"/>
      <c r="V302" s="50"/>
      <c r="AC302" s="51"/>
      <c r="AD302" s="51"/>
      <c r="AE302" s="51"/>
      <c r="AF302" s="51"/>
      <c r="AG302" s="51"/>
      <c r="AH302" s="51"/>
      <c r="AI302" s="51"/>
      <c r="AJ302" s="51"/>
      <c r="AK302" s="51"/>
      <c r="AL302" s="51"/>
      <c r="AM302" s="51"/>
      <c r="AN302" s="51"/>
      <c r="AO302" s="51"/>
      <c r="AP302" s="51"/>
      <c r="AQ302" s="51"/>
      <c r="AR302" s="51"/>
      <c r="AS302" s="51"/>
      <c r="AW302" s="51"/>
      <c r="AX302" s="51"/>
      <c r="AY302" s="51"/>
      <c r="AZ302" s="51"/>
      <c r="BA302" s="51"/>
      <c r="BB302" s="51"/>
      <c r="BC302" s="51"/>
      <c r="BD302" s="51"/>
      <c r="BE302" s="51"/>
      <c r="BF302" s="51"/>
      <c r="BG302" s="51"/>
      <c r="BH302" s="51"/>
      <c r="BI302" s="51"/>
      <c r="BJ302" s="51"/>
      <c r="BK302" s="51"/>
      <c r="BL302" s="51"/>
      <c r="BM302" s="51"/>
    </row>
    <row r="303" spans="2:65" ht="15.75">
      <c r="B303" s="217" t="s">
        <v>177</v>
      </c>
      <c r="C303" s="159"/>
      <c r="D303" s="159"/>
      <c r="E303" s="160"/>
      <c r="F303" s="160"/>
      <c r="G303" s="178"/>
      <c r="H303" s="23"/>
      <c r="I303" s="22"/>
      <c r="J303" s="34"/>
      <c r="K303" s="35"/>
      <c r="L303" s="15"/>
      <c r="M303" s="50"/>
      <c r="N303" s="50"/>
      <c r="O303" s="50"/>
      <c r="P303" s="50"/>
      <c r="Q303" s="50"/>
      <c r="R303" s="50"/>
      <c r="S303" s="50"/>
      <c r="T303" s="50"/>
      <c r="U303" s="50"/>
      <c r="V303" s="50"/>
      <c r="AC303" s="51"/>
      <c r="AD303" s="51"/>
      <c r="AE303" s="51"/>
      <c r="AF303" s="51"/>
      <c r="AG303" s="51"/>
      <c r="AH303" s="51"/>
      <c r="AI303" s="51"/>
      <c r="AJ303" s="51"/>
      <c r="AK303" s="51"/>
      <c r="AL303" s="51"/>
      <c r="AM303" s="51"/>
      <c r="AN303" s="51"/>
      <c r="AO303" s="51"/>
      <c r="AP303" s="51"/>
      <c r="AQ303" s="51"/>
      <c r="AR303" s="51"/>
      <c r="AS303" s="51"/>
      <c r="AW303" s="51"/>
      <c r="AX303" s="51"/>
      <c r="AY303" s="51"/>
      <c r="AZ303" s="51"/>
      <c r="BA303" s="51"/>
      <c r="BB303" s="51"/>
      <c r="BC303" s="51"/>
      <c r="BD303" s="51"/>
      <c r="BE303" s="51"/>
      <c r="BF303" s="51"/>
      <c r="BG303" s="51"/>
      <c r="BH303" s="51"/>
      <c r="BI303" s="51"/>
      <c r="BJ303" s="51"/>
      <c r="BK303" s="51"/>
      <c r="BL303" s="51"/>
      <c r="BM303" s="51"/>
    </row>
    <row r="304" spans="2:65" ht="19.5">
      <c r="B304" s="211" t="s">
        <v>178</v>
      </c>
      <c r="C304" s="251" t="s">
        <v>312</v>
      </c>
      <c r="D304" s="4"/>
      <c r="E304" s="219" t="s">
        <v>305</v>
      </c>
      <c r="F304" s="238">
        <f>FvEd*(2*jstjerne)/(FvEd+R.2Vertical)</f>
        <v>43.2</v>
      </c>
      <c r="G304" s="228" t="s">
        <v>28</v>
      </c>
      <c r="I304" s="22"/>
      <c r="J304" s="34"/>
      <c r="K304" s="35"/>
      <c r="L304" s="15"/>
      <c r="M304" s="50"/>
      <c r="N304" s="50"/>
      <c r="O304" s="50"/>
      <c r="P304" s="50"/>
      <c r="Q304" s="50"/>
      <c r="R304" s="50"/>
      <c r="S304" s="50"/>
      <c r="T304" s="50"/>
      <c r="U304" s="50"/>
      <c r="V304" s="50"/>
      <c r="AC304" s="51"/>
      <c r="AD304" s="51"/>
      <c r="AE304" s="51"/>
      <c r="AF304" s="51"/>
      <c r="AG304" s="51"/>
      <c r="AH304" s="51"/>
      <c r="AI304" s="51"/>
      <c r="AJ304" s="51"/>
      <c r="AK304" s="51"/>
      <c r="AL304" s="51"/>
      <c r="AM304" s="51"/>
      <c r="AN304" s="51"/>
      <c r="AO304" s="51"/>
      <c r="AP304" s="51"/>
      <c r="AQ304" s="51"/>
      <c r="AR304" s="51"/>
      <c r="AS304" s="51"/>
      <c r="AW304" s="51"/>
      <c r="AX304" s="51"/>
      <c r="AY304" s="51"/>
      <c r="AZ304" s="51"/>
      <c r="BA304" s="51"/>
      <c r="BB304" s="51"/>
      <c r="BC304" s="51"/>
      <c r="BD304" s="51"/>
      <c r="BE304" s="51"/>
      <c r="BF304" s="51"/>
      <c r="BG304" s="51"/>
      <c r="BH304" s="51"/>
      <c r="BI304" s="51"/>
      <c r="BJ304" s="51"/>
      <c r="BK304" s="51"/>
      <c r="BL304" s="51"/>
      <c r="BM304" s="51"/>
    </row>
    <row r="305" spans="2:65" ht="19.5">
      <c r="B305" s="211" t="s">
        <v>250</v>
      </c>
      <c r="C305" s="158"/>
      <c r="D305" s="159"/>
      <c r="E305" s="176"/>
      <c r="F305" s="239">
        <f>FvEd</f>
        <v>33.130000000000003</v>
      </c>
      <c r="G305" s="228" t="s">
        <v>173</v>
      </c>
      <c r="I305" s="22"/>
      <c r="J305" s="34"/>
      <c r="K305" s="35"/>
      <c r="L305" s="15"/>
      <c r="M305" s="50"/>
      <c r="N305" s="50"/>
      <c r="O305" s="50"/>
      <c r="P305" s="50"/>
      <c r="Q305" s="50"/>
      <c r="R305" s="50"/>
      <c r="S305" s="50"/>
      <c r="T305" s="50"/>
      <c r="U305" s="50"/>
      <c r="V305" s="50"/>
      <c r="AC305" s="51"/>
      <c r="AD305" s="51"/>
      <c r="AE305" s="51"/>
      <c r="AF305" s="51"/>
      <c r="AG305" s="51"/>
      <c r="AH305" s="51"/>
      <c r="AI305" s="51"/>
      <c r="AJ305" s="51"/>
      <c r="AK305" s="51"/>
      <c r="AL305" s="51"/>
      <c r="AM305" s="51"/>
      <c r="AN305" s="51"/>
      <c r="AO305" s="51"/>
      <c r="AP305" s="51"/>
      <c r="AQ305" s="51"/>
      <c r="AR305" s="51"/>
      <c r="AS305" s="51"/>
      <c r="AW305" s="51"/>
      <c r="AX305" s="51"/>
      <c r="AY305" s="51"/>
      <c r="AZ305" s="51"/>
      <c r="BA305" s="51"/>
      <c r="BB305" s="51"/>
      <c r="BC305" s="51"/>
      <c r="BD305" s="51"/>
      <c r="BE305" s="51"/>
      <c r="BF305" s="51"/>
      <c r="BG305" s="51"/>
      <c r="BH305" s="51"/>
      <c r="BI305" s="51"/>
      <c r="BJ305" s="51"/>
      <c r="BK305" s="51"/>
      <c r="BL305" s="51"/>
      <c r="BM305" s="51"/>
    </row>
    <row r="306" spans="2:65" ht="19.5">
      <c r="B306" s="209" t="s">
        <v>251</v>
      </c>
      <c r="C306" s="161"/>
      <c r="D306" s="399" t="s">
        <v>306</v>
      </c>
      <c r="E306" s="400"/>
      <c r="F306" s="240">
        <f>(FvEd*(ecantilever+F304)-R.1Vertical/(2*jstjerne)*F304^2/2)/1000</f>
        <v>3.200358</v>
      </c>
      <c r="G306" s="229" t="s">
        <v>179</v>
      </c>
      <c r="I306" s="22"/>
      <c r="J306" s="34"/>
      <c r="K306" s="35"/>
      <c r="L306" s="15"/>
      <c r="M306" s="50"/>
      <c r="N306" s="50"/>
      <c r="O306" s="50"/>
      <c r="P306" s="50"/>
      <c r="Q306" s="50"/>
      <c r="R306" s="50"/>
      <c r="S306" s="50"/>
      <c r="T306" s="50"/>
      <c r="U306" s="50"/>
      <c r="V306" s="50"/>
      <c r="AC306" s="51"/>
      <c r="AD306" s="51"/>
      <c r="AE306" s="51"/>
      <c r="AF306" s="51"/>
      <c r="AG306" s="51"/>
      <c r="AH306" s="51"/>
      <c r="AI306" s="51"/>
      <c r="AJ306" s="51"/>
      <c r="AK306" s="51"/>
      <c r="AL306" s="51"/>
      <c r="AM306" s="51"/>
      <c r="AN306" s="51"/>
      <c r="AO306" s="51"/>
      <c r="AP306" s="51"/>
      <c r="AQ306" s="51"/>
      <c r="AR306" s="51"/>
      <c r="AS306" s="51"/>
      <c r="AW306" s="51"/>
      <c r="AX306" s="51"/>
      <c r="AY306" s="51"/>
      <c r="AZ306" s="51"/>
      <c r="BA306" s="51"/>
      <c r="BB306" s="51"/>
      <c r="BC306" s="51"/>
      <c r="BD306" s="51"/>
      <c r="BE306" s="51"/>
      <c r="BF306" s="51"/>
      <c r="BG306" s="51"/>
      <c r="BH306" s="51"/>
      <c r="BI306" s="51"/>
      <c r="BJ306" s="51"/>
      <c r="BK306" s="51"/>
      <c r="BL306" s="51"/>
      <c r="BM306" s="51"/>
    </row>
    <row r="307" spans="2:65" ht="15.75">
      <c r="B307" s="217" t="s">
        <v>180</v>
      </c>
      <c r="C307" s="159"/>
      <c r="D307" s="159"/>
      <c r="F307" s="160"/>
      <c r="G307" s="177"/>
      <c r="H307" s="11"/>
      <c r="I307" s="16"/>
      <c r="J307" s="34"/>
      <c r="K307" s="35"/>
      <c r="L307" s="15"/>
      <c r="M307" s="50"/>
      <c r="N307" s="50"/>
      <c r="O307" s="50"/>
      <c r="P307" s="50"/>
      <c r="Q307" s="50"/>
      <c r="R307" s="50"/>
      <c r="S307" s="50"/>
      <c r="T307" s="50"/>
      <c r="U307" s="50"/>
      <c r="V307" s="50"/>
      <c r="AC307" s="51"/>
      <c r="AD307" s="51"/>
      <c r="AE307" s="51"/>
      <c r="AF307" s="51"/>
      <c r="AG307" s="51"/>
      <c r="AH307" s="51"/>
      <c r="AI307" s="51"/>
      <c r="AJ307" s="51"/>
      <c r="AK307" s="51"/>
      <c r="AL307" s="51"/>
      <c r="AM307" s="51"/>
      <c r="AN307" s="51"/>
      <c r="AO307" s="51"/>
      <c r="AP307" s="51"/>
      <c r="AQ307" s="51"/>
      <c r="AR307" s="51"/>
      <c r="AS307" s="51"/>
      <c r="AW307" s="51"/>
      <c r="AX307" s="51"/>
      <c r="AY307" s="51"/>
      <c r="AZ307" s="51"/>
      <c r="BA307" s="51"/>
      <c r="BB307" s="51"/>
      <c r="BC307" s="51"/>
      <c r="BD307" s="51"/>
      <c r="BE307" s="51"/>
      <c r="BF307" s="51"/>
      <c r="BG307" s="51"/>
      <c r="BH307" s="51"/>
      <c r="BI307" s="51"/>
      <c r="BJ307" s="51"/>
      <c r="BK307" s="51"/>
      <c r="BL307" s="51"/>
      <c r="BM307" s="51"/>
    </row>
    <row r="308" spans="2:65" ht="19.5">
      <c r="B308" s="211" t="s">
        <v>178</v>
      </c>
      <c r="C308" s="251" t="s">
        <v>312</v>
      </c>
      <c r="D308" s="4"/>
      <c r="E308" s="220" t="s">
        <v>230</v>
      </c>
      <c r="F308" s="238">
        <f>FHEd*(2*F293)/(FHEd+R.2Horizontal)</f>
        <v>43.2</v>
      </c>
      <c r="G308" s="228" t="s">
        <v>28</v>
      </c>
      <c r="I308" s="16"/>
      <c r="J308" s="34"/>
      <c r="K308" s="35"/>
      <c r="L308" s="15"/>
      <c r="M308" s="50"/>
      <c r="N308" s="50"/>
      <c r="O308" s="50"/>
      <c r="P308" s="50"/>
      <c r="Q308" s="50"/>
      <c r="R308" s="50"/>
      <c r="S308" s="50"/>
      <c r="T308" s="50"/>
      <c r="U308" s="50"/>
      <c r="V308" s="50"/>
      <c r="AC308" s="51"/>
      <c r="AD308" s="51"/>
      <c r="AE308" s="51"/>
      <c r="AF308" s="51"/>
      <c r="AG308" s="51"/>
      <c r="AH308" s="51"/>
      <c r="AI308" s="51"/>
      <c r="AJ308" s="51"/>
      <c r="AK308" s="51"/>
      <c r="AL308" s="51"/>
      <c r="AM308" s="51"/>
      <c r="AN308" s="51"/>
      <c r="AO308" s="51"/>
      <c r="AP308" s="51"/>
      <c r="AQ308" s="51"/>
      <c r="AR308" s="51"/>
      <c r="AS308" s="51"/>
      <c r="AW308" s="51"/>
      <c r="AX308" s="51"/>
      <c r="AY308" s="51"/>
      <c r="AZ308" s="51"/>
      <c r="BA308" s="51"/>
      <c r="BB308" s="51"/>
      <c r="BC308" s="51"/>
      <c r="BD308" s="51"/>
      <c r="BE308" s="51"/>
      <c r="BF308" s="51"/>
      <c r="BG308" s="51"/>
      <c r="BH308" s="51"/>
      <c r="BI308" s="51"/>
      <c r="BJ308" s="51"/>
      <c r="BK308" s="51"/>
      <c r="BL308" s="51"/>
      <c r="BM308" s="51"/>
    </row>
    <row r="309" spans="2:65" ht="19.5">
      <c r="B309" s="211" t="s">
        <v>252</v>
      </c>
      <c r="C309" s="158"/>
      <c r="D309" s="159"/>
      <c r="E309" s="176"/>
      <c r="F309" s="239">
        <f>FHEd</f>
        <v>27.03</v>
      </c>
      <c r="G309" s="228" t="s">
        <v>173</v>
      </c>
      <c r="I309" s="16"/>
      <c r="J309" s="34"/>
      <c r="K309" s="35"/>
      <c r="L309" s="15"/>
      <c r="M309" s="50"/>
      <c r="N309" s="50"/>
      <c r="O309" s="50"/>
      <c r="P309" s="50"/>
      <c r="Q309" s="50"/>
      <c r="R309" s="50"/>
      <c r="S309" s="50"/>
      <c r="T309" s="50"/>
      <c r="U309" s="50"/>
      <c r="V309" s="50"/>
      <c r="AC309" s="51"/>
      <c r="AD309" s="51"/>
      <c r="AE309" s="51"/>
      <c r="AF309" s="51"/>
      <c r="AG309" s="51"/>
      <c r="AH309" s="51"/>
      <c r="AI309" s="51"/>
      <c r="AJ309" s="51"/>
      <c r="AK309" s="51"/>
      <c r="AL309" s="51"/>
      <c r="AM309" s="51"/>
      <c r="AN309" s="51"/>
      <c r="AO309" s="51"/>
      <c r="AP309" s="51"/>
      <c r="AQ309" s="51"/>
      <c r="AR309" s="51"/>
      <c r="AS309" s="51"/>
      <c r="AW309" s="51"/>
      <c r="AX309" s="51"/>
      <c r="AY309" s="51"/>
      <c r="AZ309" s="51"/>
      <c r="BA309" s="51"/>
      <c r="BB309" s="51"/>
      <c r="BC309" s="51"/>
      <c r="BD309" s="51"/>
      <c r="BE309" s="51"/>
      <c r="BF309" s="51"/>
      <c r="BG309" s="51"/>
      <c r="BH309" s="51"/>
      <c r="BI309" s="51"/>
      <c r="BJ309" s="51"/>
      <c r="BK309" s="51"/>
      <c r="BL309" s="51"/>
      <c r="BM309" s="51"/>
    </row>
    <row r="310" spans="2:65" ht="20.25" customHeight="1">
      <c r="B310" s="209" t="s">
        <v>253</v>
      </c>
      <c r="C310" s="161"/>
      <c r="D310" s="399" t="s">
        <v>307</v>
      </c>
      <c r="E310" s="400"/>
      <c r="F310" s="240">
        <f>(FHEd*(F292+F308)-R.1Horizontal/(2*F293)*F308^2/2)/1000</f>
        <v>2.6110980000000006</v>
      </c>
      <c r="G310" s="229" t="s">
        <v>179</v>
      </c>
      <c r="I310" s="16"/>
      <c r="J310" s="34"/>
      <c r="K310" s="35"/>
      <c r="L310" s="15"/>
      <c r="M310" s="50"/>
      <c r="N310" s="50"/>
      <c r="O310" s="50"/>
      <c r="P310" s="50"/>
      <c r="Q310" s="50"/>
      <c r="R310" s="50"/>
      <c r="S310" s="50"/>
      <c r="T310" s="50"/>
      <c r="U310" s="50"/>
      <c r="V310" s="50"/>
      <c r="AC310" s="51"/>
      <c r="AD310" s="51"/>
      <c r="AE310" s="51"/>
      <c r="AF310" s="51"/>
      <c r="AG310" s="51"/>
      <c r="AH310" s="51"/>
      <c r="AI310" s="51"/>
      <c r="AJ310" s="51"/>
      <c r="AK310" s="51"/>
      <c r="AL310" s="51"/>
      <c r="AM310" s="51"/>
      <c r="AN310" s="51"/>
      <c r="AO310" s="51"/>
      <c r="AP310" s="51"/>
      <c r="AQ310" s="51"/>
      <c r="AR310" s="51"/>
      <c r="AS310" s="51"/>
      <c r="AW310" s="51"/>
      <c r="AX310" s="51"/>
      <c r="AY310" s="51"/>
      <c r="AZ310" s="51"/>
      <c r="BA310" s="51"/>
      <c r="BB310" s="51"/>
      <c r="BC310" s="51"/>
      <c r="BD310" s="51"/>
      <c r="BE310" s="51"/>
      <c r="BF310" s="51"/>
      <c r="BG310" s="51"/>
      <c r="BH310" s="51"/>
      <c r="BI310" s="51"/>
      <c r="BJ310" s="51"/>
      <c r="BK310" s="51"/>
      <c r="BL310" s="51"/>
      <c r="BM310" s="51"/>
    </row>
    <row r="311" spans="2:65" ht="15.75">
      <c r="B311" s="351" t="s">
        <v>181</v>
      </c>
      <c r="C311" s="352"/>
      <c r="D311" s="352"/>
      <c r="E311" s="352"/>
      <c r="F311" s="352"/>
      <c r="G311" s="353"/>
      <c r="H311" s="11"/>
      <c r="I311" s="16"/>
      <c r="J311" s="34"/>
      <c r="K311" s="35"/>
      <c r="L311" s="15"/>
      <c r="M311" s="50"/>
      <c r="N311" s="50"/>
      <c r="O311" s="50"/>
      <c r="P311" s="50"/>
      <c r="Q311" s="50"/>
      <c r="R311" s="50"/>
      <c r="S311" s="50"/>
      <c r="T311" s="50"/>
      <c r="U311" s="50"/>
      <c r="V311" s="50"/>
      <c r="AC311" s="51"/>
      <c r="AD311" s="51"/>
      <c r="AE311" s="51"/>
      <c r="AF311" s="51"/>
      <c r="AG311" s="51"/>
      <c r="AH311" s="51"/>
      <c r="AI311" s="51"/>
      <c r="AJ311" s="51"/>
      <c r="AK311" s="51"/>
      <c r="AL311" s="51"/>
      <c r="AM311" s="51"/>
      <c r="AN311" s="51"/>
      <c r="AO311" s="51"/>
      <c r="AP311" s="51"/>
      <c r="AQ311" s="51"/>
      <c r="AR311" s="51"/>
      <c r="AS311" s="51"/>
      <c r="AW311" s="51"/>
      <c r="AX311" s="51"/>
      <c r="AY311" s="51"/>
      <c r="AZ311" s="51"/>
      <c r="BA311" s="51"/>
      <c r="BB311" s="51"/>
      <c r="BC311" s="51"/>
      <c r="BD311" s="51"/>
      <c r="BE311" s="51"/>
      <c r="BF311" s="51"/>
      <c r="BG311" s="51"/>
      <c r="BH311" s="51"/>
      <c r="BI311" s="51"/>
      <c r="BJ311" s="51"/>
      <c r="BK311" s="51"/>
      <c r="BL311" s="51"/>
      <c r="BM311" s="51"/>
    </row>
    <row r="312" spans="2:65" ht="15.75">
      <c r="B312" s="217" t="s">
        <v>177</v>
      </c>
      <c r="C312" s="173"/>
      <c r="D312" s="173"/>
      <c r="E312" s="173"/>
      <c r="F312" s="173"/>
      <c r="G312" s="179"/>
      <c r="H312" s="11"/>
      <c r="I312" s="16"/>
      <c r="J312" s="34"/>
      <c r="K312" s="35"/>
      <c r="L312" s="15"/>
      <c r="M312" s="50"/>
      <c r="N312" s="50"/>
      <c r="O312" s="50"/>
      <c r="P312" s="50"/>
      <c r="Q312" s="50"/>
      <c r="R312" s="50"/>
      <c r="S312" s="50"/>
      <c r="T312" s="50"/>
      <c r="U312" s="50"/>
      <c r="V312" s="50"/>
      <c r="AC312" s="51"/>
      <c r="AD312" s="51"/>
      <c r="AE312" s="51"/>
      <c r="AF312" s="51"/>
      <c r="AG312" s="51"/>
      <c r="AH312" s="51"/>
      <c r="AI312" s="51"/>
      <c r="AJ312" s="51"/>
      <c r="AK312" s="51"/>
      <c r="AL312" s="51"/>
      <c r="AM312" s="51"/>
      <c r="AN312" s="51"/>
      <c r="AO312" s="51"/>
      <c r="AP312" s="51"/>
      <c r="AQ312" s="51"/>
      <c r="AR312" s="51"/>
      <c r="AS312" s="51"/>
      <c r="AW312" s="51"/>
      <c r="AX312" s="51"/>
      <c r="AY312" s="51"/>
      <c r="AZ312" s="51"/>
      <c r="BA312" s="51"/>
      <c r="BB312" s="51"/>
      <c r="BC312" s="51"/>
      <c r="BD312" s="51"/>
      <c r="BE312" s="51"/>
      <c r="BF312" s="51"/>
      <c r="BG312" s="51"/>
      <c r="BH312" s="51"/>
      <c r="BI312" s="51"/>
      <c r="BJ312" s="51"/>
      <c r="BK312" s="51"/>
      <c r="BL312" s="51"/>
      <c r="BM312" s="51"/>
    </row>
    <row r="313" spans="2:65" ht="19.5">
      <c r="B313" s="211" t="s">
        <v>254</v>
      </c>
      <c r="C313" s="162"/>
      <c r="D313" s="175"/>
      <c r="E313" s="176"/>
      <c r="F313" s="241">
        <v>28500</v>
      </c>
      <c r="G313" s="228" t="s">
        <v>184</v>
      </c>
      <c r="I313" s="16"/>
      <c r="J313" s="34"/>
      <c r="K313" s="35"/>
      <c r="L313" s="15"/>
      <c r="M313" s="50"/>
      <c r="N313" s="50"/>
      <c r="O313" s="50"/>
      <c r="P313" s="50"/>
      <c r="Q313" s="50"/>
      <c r="R313" s="50"/>
      <c r="S313" s="50"/>
      <c r="T313" s="50"/>
      <c r="U313" s="50"/>
      <c r="V313" s="50"/>
      <c r="AC313" s="51"/>
      <c r="AD313" s="51"/>
      <c r="AE313" s="51"/>
      <c r="AF313" s="51"/>
      <c r="AG313" s="51"/>
      <c r="AH313" s="51"/>
      <c r="AI313" s="51"/>
      <c r="AJ313" s="51"/>
      <c r="AK313" s="51"/>
      <c r="AL313" s="51"/>
      <c r="AM313" s="51"/>
      <c r="AN313" s="51"/>
      <c r="AO313" s="51"/>
      <c r="AP313" s="51"/>
      <c r="AQ313" s="51"/>
      <c r="AR313" s="51"/>
      <c r="AS313" s="51"/>
      <c r="AW313" s="51"/>
      <c r="AX313" s="51"/>
      <c r="AY313" s="51"/>
      <c r="AZ313" s="51"/>
      <c r="BA313" s="51"/>
      <c r="BB313" s="51"/>
      <c r="BC313" s="51"/>
      <c r="BD313" s="51"/>
      <c r="BE313" s="51"/>
      <c r="BF313" s="51"/>
      <c r="BG313" s="51"/>
      <c r="BH313" s="51"/>
      <c r="BI313" s="51"/>
      <c r="BJ313" s="51"/>
      <c r="BK313" s="51"/>
      <c r="BL313" s="51"/>
      <c r="BM313" s="51"/>
    </row>
    <row r="314" spans="2:65" ht="19.5">
      <c r="B314" s="211" t="s">
        <v>255</v>
      </c>
      <c r="C314" s="251" t="s">
        <v>308</v>
      </c>
      <c r="D314" s="164"/>
      <c r="E314" s="221" t="s">
        <v>231</v>
      </c>
      <c r="F314" s="242">
        <f>Ab*hb/(wb+hb)</f>
        <v>520</v>
      </c>
      <c r="G314" s="228" t="s">
        <v>185</v>
      </c>
      <c r="H314" s="51" t="s">
        <v>309</v>
      </c>
      <c r="I314" s="16"/>
      <c r="J314" s="34"/>
      <c r="K314" s="35"/>
      <c r="L314" s="15"/>
      <c r="M314" s="50"/>
      <c r="N314" s="50"/>
      <c r="O314" s="50"/>
      <c r="P314" s="50"/>
      <c r="Q314" s="50"/>
      <c r="R314" s="50"/>
      <c r="S314" s="50"/>
      <c r="T314" s="50"/>
      <c r="U314" s="50"/>
      <c r="V314" s="50"/>
      <c r="AC314" s="51"/>
      <c r="AD314" s="51"/>
      <c r="AE314" s="51"/>
      <c r="AF314" s="51"/>
      <c r="AG314" s="51"/>
      <c r="AH314" s="51"/>
      <c r="AI314" s="51"/>
      <c r="AJ314" s="51"/>
      <c r="AK314" s="51"/>
      <c r="AL314" s="51"/>
      <c r="AM314" s="51"/>
      <c r="AN314" s="51"/>
      <c r="AO314" s="51"/>
      <c r="AP314" s="51"/>
      <c r="AQ314" s="51"/>
      <c r="AR314" s="51"/>
      <c r="AS314" s="51"/>
      <c r="AW314" s="51"/>
      <c r="AX314" s="51"/>
      <c r="AY314" s="51"/>
      <c r="AZ314" s="51"/>
      <c r="BA314" s="51"/>
      <c r="BB314" s="51"/>
      <c r="BC314" s="51"/>
      <c r="BD314" s="51"/>
      <c r="BE314" s="51"/>
      <c r="BF314" s="51"/>
      <c r="BG314" s="51"/>
      <c r="BH314" s="51"/>
      <c r="BI314" s="51"/>
      <c r="BJ314" s="51"/>
      <c r="BK314" s="51"/>
      <c r="BL314" s="51"/>
      <c r="BM314" s="51"/>
    </row>
    <row r="315" spans="2:65" ht="19.5">
      <c r="B315" s="211" t="s">
        <v>256</v>
      </c>
      <c r="C315" s="251" t="s">
        <v>182</v>
      </c>
      <c r="D315" s="163"/>
      <c r="E315" s="221" t="s">
        <v>326</v>
      </c>
      <c r="F315" s="243">
        <f>Av.z*fyield/(SQRT(3)*GammaM0)/1000</f>
        <v>101.50367589752851</v>
      </c>
      <c r="G315" s="228" t="s">
        <v>173</v>
      </c>
      <c r="I315" s="16"/>
      <c r="J315" s="34"/>
      <c r="K315" s="35"/>
      <c r="L315" s="15"/>
      <c r="M315" s="50"/>
      <c r="N315" s="50"/>
      <c r="O315" s="50"/>
      <c r="P315" s="50"/>
      <c r="Q315" s="50"/>
      <c r="R315" s="50"/>
      <c r="S315" s="50"/>
      <c r="T315" s="50"/>
      <c r="U315" s="50"/>
      <c r="V315" s="50"/>
      <c r="AC315" s="51"/>
      <c r="AD315" s="51"/>
      <c r="AE315" s="51"/>
      <c r="AF315" s="51"/>
      <c r="AG315" s="51"/>
      <c r="AH315" s="51"/>
      <c r="AI315" s="51"/>
      <c r="AJ315" s="51"/>
      <c r="AK315" s="51"/>
      <c r="AL315" s="51"/>
      <c r="AM315" s="51"/>
      <c r="AN315" s="51"/>
      <c r="AO315" s="51"/>
      <c r="AP315" s="51"/>
      <c r="AQ315" s="51"/>
      <c r="AR315" s="51"/>
      <c r="AS315" s="51"/>
      <c r="AW315" s="51"/>
      <c r="AX315" s="51"/>
      <c r="AY315" s="51"/>
      <c r="AZ315" s="51"/>
      <c r="BA315" s="51"/>
      <c r="BB315" s="51"/>
      <c r="BC315" s="51"/>
      <c r="BD315" s="51"/>
      <c r="BE315" s="51"/>
      <c r="BF315" s="51"/>
      <c r="BG315" s="51"/>
      <c r="BH315" s="51"/>
      <c r="BI315" s="51"/>
      <c r="BJ315" s="51"/>
      <c r="BK315" s="51"/>
      <c r="BL315" s="51"/>
      <c r="BM315" s="51"/>
    </row>
    <row r="316" spans="2:65" ht="19.5">
      <c r="B316" s="211" t="s">
        <v>257</v>
      </c>
      <c r="C316" s="251" t="s">
        <v>183</v>
      </c>
      <c r="D316" s="163"/>
      <c r="E316" s="221" t="s">
        <v>271</v>
      </c>
      <c r="F316" s="243">
        <f>Wpl.y*fyield/GammaM0/1000000</f>
        <v>9.6357142857142861</v>
      </c>
      <c r="G316" s="228" t="s">
        <v>179</v>
      </c>
      <c r="I316" s="16"/>
      <c r="J316" s="34"/>
      <c r="K316" s="35"/>
      <c r="L316" s="15"/>
      <c r="M316" s="50"/>
      <c r="N316" s="50"/>
      <c r="O316" s="50"/>
      <c r="P316" s="50"/>
      <c r="Q316" s="50"/>
      <c r="R316" s="50"/>
      <c r="S316" s="50"/>
      <c r="T316" s="50"/>
      <c r="U316" s="50"/>
      <c r="V316" s="50"/>
      <c r="AC316" s="51"/>
      <c r="AD316" s="51"/>
      <c r="AE316" s="51"/>
      <c r="AF316" s="51"/>
      <c r="AG316" s="51"/>
      <c r="AH316" s="51"/>
      <c r="AI316" s="51"/>
      <c r="AJ316" s="51"/>
      <c r="AK316" s="51"/>
      <c r="AL316" s="51"/>
      <c r="AM316" s="51"/>
      <c r="AN316" s="51"/>
      <c r="AO316" s="51"/>
      <c r="AP316" s="51"/>
      <c r="AQ316" s="51"/>
      <c r="AR316" s="51"/>
      <c r="AS316" s="51"/>
      <c r="AW316" s="51"/>
      <c r="AX316" s="51"/>
      <c r="AY316" s="51"/>
      <c r="AZ316" s="51"/>
      <c r="BA316" s="51"/>
      <c r="BB316" s="51"/>
      <c r="BC316" s="51"/>
      <c r="BD316" s="51"/>
      <c r="BE316" s="51"/>
      <c r="BF316" s="51"/>
      <c r="BG316" s="51"/>
      <c r="BH316" s="51"/>
      <c r="BI316" s="51"/>
      <c r="BJ316" s="51"/>
      <c r="BK316" s="51"/>
      <c r="BL316" s="51"/>
      <c r="BM316" s="51"/>
    </row>
    <row r="317" spans="2:65" ht="19.5">
      <c r="B317" s="211" t="s">
        <v>258</v>
      </c>
      <c r="C317" s="251" t="s">
        <v>310</v>
      </c>
      <c r="D317" s="164"/>
      <c r="E317" s="221" t="s">
        <v>232</v>
      </c>
      <c r="F317" s="243">
        <f>Av.z/(2*tb)</f>
        <v>43.333333333333336</v>
      </c>
      <c r="G317" s="228" t="s">
        <v>28</v>
      </c>
      <c r="H317" s="56" t="s">
        <v>316</v>
      </c>
      <c r="I317" s="16"/>
      <c r="J317" s="34"/>
      <c r="K317" s="35"/>
      <c r="L317" s="15"/>
      <c r="M317" s="50"/>
      <c r="N317" s="50"/>
      <c r="O317" s="50"/>
      <c r="P317" s="50"/>
      <c r="Q317" s="50"/>
      <c r="R317" s="50"/>
      <c r="S317" s="50"/>
      <c r="T317" s="50"/>
      <c r="U317" s="50"/>
      <c r="V317" s="50"/>
      <c r="AC317" s="51"/>
      <c r="AD317" s="51"/>
      <c r="AE317" s="51"/>
      <c r="AF317" s="51"/>
      <c r="AG317" s="51"/>
      <c r="AH317" s="51"/>
      <c r="AI317" s="51"/>
      <c r="AJ317" s="51"/>
      <c r="AK317" s="51"/>
      <c r="AL317" s="51"/>
      <c r="AM317" s="51"/>
      <c r="AN317" s="51"/>
      <c r="AO317" s="51"/>
      <c r="AP317" s="51"/>
      <c r="AQ317" s="51"/>
      <c r="AR317" s="51"/>
      <c r="AS317" s="51"/>
      <c r="AW317" s="51"/>
      <c r="AX317" s="51"/>
      <c r="AY317" s="51"/>
      <c r="AZ317" s="51"/>
      <c r="BA317" s="51"/>
      <c r="BB317" s="51"/>
      <c r="BC317" s="51"/>
      <c r="BD317" s="51"/>
      <c r="BE317" s="51"/>
      <c r="BF317" s="51"/>
      <c r="BG317" s="51"/>
      <c r="BH317" s="51"/>
      <c r="BI317" s="51"/>
      <c r="BJ317" s="51"/>
      <c r="BK317" s="51"/>
      <c r="BL317" s="51"/>
      <c r="BM317" s="51"/>
    </row>
    <row r="318" spans="2:65" ht="19.5">
      <c r="B318" s="211" t="s">
        <v>313</v>
      </c>
      <c r="C318" s="162"/>
      <c r="D318" s="164"/>
      <c r="E318" s="176"/>
      <c r="F318" s="244">
        <f>VEd.z/VPl.Rd.z</f>
        <v>0.32639212035479276</v>
      </c>
      <c r="G318" s="228" t="s">
        <v>22</v>
      </c>
      <c r="I318" s="16"/>
      <c r="J318" s="34"/>
      <c r="K318" s="35"/>
      <c r="L318" s="15"/>
      <c r="M318" s="50"/>
      <c r="N318" s="50"/>
      <c r="O318" s="50"/>
      <c r="P318" s="50"/>
      <c r="Q318" s="50"/>
      <c r="R318" s="50"/>
      <c r="S318" s="50"/>
      <c r="T318" s="50"/>
      <c r="U318" s="50"/>
      <c r="V318" s="50"/>
      <c r="AC318" s="51"/>
      <c r="AD318" s="51"/>
      <c r="AE318" s="51"/>
      <c r="AF318" s="51"/>
      <c r="AG318" s="51"/>
      <c r="AH318" s="51"/>
      <c r="AI318" s="51"/>
      <c r="AJ318" s="51"/>
      <c r="AK318" s="51"/>
      <c r="AL318" s="51"/>
      <c r="AM318" s="51"/>
      <c r="AN318" s="51"/>
      <c r="AO318" s="51"/>
      <c r="AP318" s="51"/>
      <c r="AQ318" s="51"/>
      <c r="AR318" s="51"/>
      <c r="AS318" s="51"/>
      <c r="AW318" s="51"/>
      <c r="AX318" s="51"/>
      <c r="AY318" s="51"/>
      <c r="AZ318" s="51"/>
      <c r="BA318" s="51"/>
      <c r="BB318" s="51"/>
      <c r="BC318" s="51"/>
      <c r="BD318" s="51"/>
      <c r="BE318" s="51"/>
      <c r="BF318" s="51"/>
      <c r="BG318" s="51"/>
      <c r="BH318" s="51"/>
      <c r="BI318" s="51"/>
      <c r="BJ318" s="51"/>
      <c r="BK318" s="51"/>
      <c r="BL318" s="51"/>
      <c r="BM318" s="51"/>
    </row>
    <row r="319" spans="2:65" ht="20.25">
      <c r="B319" s="209" t="s">
        <v>259</v>
      </c>
      <c r="C319" s="251" t="s">
        <v>189</v>
      </c>
      <c r="D319" s="159"/>
      <c r="E319" s="221" t="s">
        <v>233</v>
      </c>
      <c r="F319" s="245">
        <f>IF(F318&gt;0.5,fyield*(1-(2*VEd.z/VPl.Rd.z-1)^2),fyield)</f>
        <v>355</v>
      </c>
      <c r="G319" s="228" t="s">
        <v>167</v>
      </c>
      <c r="I319" s="16"/>
      <c r="J319" s="34"/>
      <c r="K319" s="35"/>
      <c r="L319" s="15"/>
      <c r="M319" s="50"/>
      <c r="N319" s="50"/>
      <c r="O319" s="50"/>
      <c r="P319" s="50"/>
      <c r="Q319" s="50"/>
      <c r="R319" s="50"/>
      <c r="S319" s="50"/>
      <c r="T319" s="50"/>
      <c r="U319" s="50"/>
      <c r="V319" s="50"/>
      <c r="AC319" s="51"/>
      <c r="AD319" s="51"/>
      <c r="AE319" s="51"/>
      <c r="AF319" s="51"/>
      <c r="AG319" s="51"/>
      <c r="AH319" s="51"/>
      <c r="AI319" s="51"/>
      <c r="AJ319" s="51"/>
      <c r="AK319" s="51"/>
      <c r="AL319" s="51"/>
      <c r="AM319" s="51"/>
      <c r="AN319" s="51"/>
      <c r="AO319" s="51"/>
      <c r="AP319" s="51"/>
      <c r="AQ319" s="51"/>
      <c r="AR319" s="51"/>
      <c r="AS319" s="51"/>
      <c r="AW319" s="51"/>
      <c r="AX319" s="51"/>
      <c r="AY319" s="51"/>
      <c r="AZ319" s="51"/>
      <c r="BA319" s="51"/>
      <c r="BB319" s="51"/>
      <c r="BC319" s="51"/>
      <c r="BD319" s="51"/>
      <c r="BE319" s="51"/>
      <c r="BF319" s="51"/>
      <c r="BG319" s="51"/>
      <c r="BH319" s="51"/>
      <c r="BI319" s="51"/>
      <c r="BJ319" s="51"/>
      <c r="BK319" s="51"/>
      <c r="BL319" s="51"/>
      <c r="BM319" s="51"/>
    </row>
    <row r="320" spans="2:65" ht="15.75">
      <c r="B320" s="217" t="s">
        <v>180</v>
      </c>
      <c r="C320" s="253"/>
      <c r="D320" s="180"/>
      <c r="E320" s="180"/>
      <c r="F320" s="165"/>
      <c r="G320" s="181"/>
      <c r="I320" s="16"/>
      <c r="J320" s="34"/>
      <c r="K320" s="35"/>
      <c r="L320" s="15"/>
      <c r="M320" s="50"/>
      <c r="N320" s="50"/>
      <c r="O320" s="50"/>
      <c r="P320" s="50"/>
      <c r="Q320" s="50"/>
      <c r="R320" s="50"/>
      <c r="S320" s="50"/>
      <c r="T320" s="50"/>
      <c r="U320" s="50"/>
      <c r="V320" s="50"/>
      <c r="AC320" s="51"/>
      <c r="AD320" s="51"/>
      <c r="AE320" s="51"/>
      <c r="AF320" s="51"/>
      <c r="AG320" s="51"/>
      <c r="AH320" s="51"/>
      <c r="AI320" s="51"/>
      <c r="AJ320" s="51"/>
      <c r="AK320" s="51"/>
      <c r="AL320" s="51"/>
      <c r="AM320" s="51"/>
      <c r="AN320" s="51"/>
      <c r="AO320" s="51"/>
      <c r="AP320" s="51"/>
      <c r="AQ320" s="51"/>
      <c r="AR320" s="51"/>
      <c r="AS320" s="51"/>
      <c r="AW320" s="51"/>
      <c r="AX320" s="51"/>
      <c r="AY320" s="51"/>
      <c r="AZ320" s="51"/>
      <c r="BA320" s="51"/>
      <c r="BB320" s="51"/>
      <c r="BC320" s="51"/>
      <c r="BD320" s="51"/>
      <c r="BE320" s="51"/>
      <c r="BF320" s="51"/>
      <c r="BG320" s="51"/>
      <c r="BH320" s="51"/>
      <c r="BI320" s="51"/>
      <c r="BJ320" s="51"/>
      <c r="BK320" s="51"/>
      <c r="BL320" s="51"/>
      <c r="BM320" s="51"/>
    </row>
    <row r="321" spans="2:65" ht="19.5">
      <c r="B321" s="211" t="s">
        <v>260</v>
      </c>
      <c r="C321" s="254"/>
      <c r="D321" s="163"/>
      <c r="F321" s="241">
        <v>46900</v>
      </c>
      <c r="G321" s="228" t="s">
        <v>184</v>
      </c>
      <c r="I321" s="16"/>
      <c r="J321" s="34"/>
      <c r="K321" s="35"/>
      <c r="L321" s="15"/>
      <c r="M321" s="50"/>
      <c r="N321" s="50"/>
      <c r="O321" s="50"/>
      <c r="P321" s="50"/>
      <c r="Q321" s="50"/>
      <c r="R321" s="50"/>
      <c r="S321" s="50"/>
      <c r="T321" s="50"/>
      <c r="U321" s="50"/>
      <c r="V321" s="50"/>
      <c r="AC321" s="51"/>
      <c r="AD321" s="51"/>
      <c r="AE321" s="51"/>
      <c r="AF321" s="51"/>
      <c r="AG321" s="51"/>
      <c r="AH321" s="51"/>
      <c r="AI321" s="51"/>
      <c r="AJ321" s="51"/>
      <c r="AK321" s="51"/>
      <c r="AL321" s="51"/>
      <c r="AM321" s="51"/>
      <c r="AN321" s="51"/>
      <c r="AO321" s="51"/>
      <c r="AP321" s="51"/>
      <c r="AQ321" s="51"/>
      <c r="AR321" s="51"/>
      <c r="AS321" s="51"/>
      <c r="AW321" s="51"/>
      <c r="AX321" s="51"/>
      <c r="AY321" s="51"/>
      <c r="AZ321" s="51"/>
      <c r="BA321" s="51"/>
      <c r="BB321" s="51"/>
      <c r="BC321" s="51"/>
      <c r="BD321" s="51"/>
      <c r="BE321" s="51"/>
      <c r="BF321" s="51"/>
      <c r="BG321" s="51"/>
      <c r="BH321" s="51"/>
      <c r="BI321" s="51"/>
      <c r="BJ321" s="51"/>
      <c r="BK321" s="51"/>
      <c r="BL321" s="51"/>
      <c r="BM321" s="51"/>
    </row>
    <row r="322" spans="2:65" ht="19.5">
      <c r="B322" s="211" t="s">
        <v>261</v>
      </c>
      <c r="C322" s="251" t="s">
        <v>308</v>
      </c>
      <c r="D322" s="164"/>
      <c r="E322" s="221" t="s">
        <v>234</v>
      </c>
      <c r="F322" s="242">
        <f>Ab*wb/(wb+hb)</f>
        <v>1040</v>
      </c>
      <c r="G322" s="228" t="s">
        <v>185</v>
      </c>
      <c r="H322" s="51" t="s">
        <v>309</v>
      </c>
      <c r="I322" s="16"/>
      <c r="J322" s="34"/>
      <c r="K322" s="35"/>
      <c r="L322" s="15"/>
      <c r="M322" s="50"/>
      <c r="N322" s="50"/>
      <c r="O322" s="50"/>
      <c r="P322" s="50"/>
      <c r="Q322" s="50"/>
      <c r="R322" s="50"/>
      <c r="S322" s="50"/>
      <c r="T322" s="50"/>
      <c r="U322" s="50"/>
      <c r="V322" s="50"/>
      <c r="AC322" s="51"/>
      <c r="AD322" s="51"/>
      <c r="AE322" s="51"/>
      <c r="AF322" s="51"/>
      <c r="AG322" s="51"/>
      <c r="AH322" s="51"/>
      <c r="AI322" s="51"/>
      <c r="AJ322" s="51"/>
      <c r="AK322" s="51"/>
      <c r="AL322" s="51"/>
      <c r="AM322" s="51"/>
      <c r="AN322" s="51"/>
      <c r="AO322" s="51"/>
      <c r="AP322" s="51"/>
      <c r="AQ322" s="51"/>
      <c r="AR322" s="51"/>
      <c r="AS322" s="51"/>
      <c r="AW322" s="51"/>
      <c r="AX322" s="51"/>
      <c r="AY322" s="51"/>
      <c r="AZ322" s="51"/>
      <c r="BA322" s="51"/>
      <c r="BB322" s="51"/>
      <c r="BC322" s="51"/>
      <c r="BD322" s="51"/>
      <c r="BE322" s="51"/>
      <c r="BF322" s="51"/>
      <c r="BG322" s="51"/>
      <c r="BH322" s="51"/>
      <c r="BI322" s="51"/>
      <c r="BJ322" s="51"/>
      <c r="BK322" s="51"/>
      <c r="BL322" s="51"/>
      <c r="BM322" s="51"/>
    </row>
    <row r="323" spans="2:65" ht="19.5">
      <c r="B323" s="211" t="s">
        <v>262</v>
      </c>
      <c r="C323" s="251" t="s">
        <v>182</v>
      </c>
      <c r="D323" s="163"/>
      <c r="E323" s="221" t="s">
        <v>327</v>
      </c>
      <c r="F323" s="243">
        <f>Av.y*fyield/(SQRT(3)*GammaM0)/1000</f>
        <v>203.00735179505702</v>
      </c>
      <c r="G323" s="228" t="s">
        <v>173</v>
      </c>
      <c r="I323" s="16"/>
      <c r="J323" s="34"/>
      <c r="K323" s="35"/>
      <c r="L323" s="15"/>
      <c r="M323" s="50"/>
      <c r="N323" s="50"/>
      <c r="O323" s="50"/>
      <c r="P323" s="50"/>
      <c r="Q323" s="50"/>
      <c r="R323" s="50"/>
      <c r="S323" s="50"/>
      <c r="T323" s="50"/>
      <c r="U323" s="50"/>
      <c r="V323" s="50"/>
      <c r="AC323" s="51"/>
      <c r="AD323" s="51"/>
      <c r="AE323" s="51"/>
      <c r="AF323" s="51"/>
      <c r="AG323" s="51"/>
      <c r="AH323" s="51"/>
      <c r="AI323" s="51"/>
      <c r="AJ323" s="51"/>
      <c r="AK323" s="51"/>
      <c r="AL323" s="51"/>
      <c r="AM323" s="51"/>
      <c r="AN323" s="51"/>
      <c r="AO323" s="51"/>
      <c r="AP323" s="51"/>
      <c r="AQ323" s="51"/>
      <c r="AR323" s="51"/>
      <c r="AS323" s="51"/>
      <c r="AW323" s="51"/>
      <c r="AX323" s="51"/>
      <c r="AY323" s="51"/>
      <c r="AZ323" s="51"/>
      <c r="BA323" s="51"/>
      <c r="BB323" s="51"/>
      <c r="BC323" s="51"/>
      <c r="BD323" s="51"/>
      <c r="BE323" s="51"/>
      <c r="BF323" s="51"/>
      <c r="BG323" s="51"/>
      <c r="BH323" s="51"/>
      <c r="BI323" s="51"/>
      <c r="BJ323" s="51"/>
      <c r="BK323" s="51"/>
      <c r="BL323" s="51"/>
      <c r="BM323" s="51"/>
    </row>
    <row r="324" spans="2:65" ht="19.5">
      <c r="B324" s="211" t="s">
        <v>263</v>
      </c>
      <c r="C324" s="251" t="s">
        <v>183</v>
      </c>
      <c r="D324" s="163"/>
      <c r="E324" s="221" t="s">
        <v>272</v>
      </c>
      <c r="F324" s="243">
        <f>WPl.z*fyield/GammaM0/1000000</f>
        <v>15.856666666666666</v>
      </c>
      <c r="G324" s="228" t="s">
        <v>179</v>
      </c>
      <c r="I324" s="16"/>
      <c r="J324" s="34"/>
      <c r="K324" s="35"/>
      <c r="L324" s="15"/>
      <c r="M324" s="50"/>
      <c r="N324" s="50"/>
      <c r="O324" s="50"/>
      <c r="P324" s="50"/>
      <c r="Q324" s="50"/>
      <c r="R324" s="50"/>
      <c r="S324" s="50"/>
      <c r="T324" s="50"/>
      <c r="U324" s="50"/>
      <c r="V324" s="50"/>
      <c r="AC324" s="51"/>
      <c r="AD324" s="51"/>
      <c r="AE324" s="51"/>
      <c r="AF324" s="51"/>
      <c r="AG324" s="51"/>
      <c r="AH324" s="51"/>
      <c r="AI324" s="51"/>
      <c r="AJ324" s="51"/>
      <c r="AK324" s="51"/>
      <c r="AL324" s="51"/>
      <c r="AM324" s="51"/>
      <c r="AN324" s="51"/>
      <c r="AO324" s="51"/>
      <c r="AP324" s="51"/>
      <c r="AQ324" s="51"/>
      <c r="AR324" s="51"/>
      <c r="AS324" s="51"/>
      <c r="AW324" s="51"/>
      <c r="AX324" s="51"/>
      <c r="AY324" s="51"/>
      <c r="AZ324" s="51"/>
      <c r="BA324" s="51"/>
      <c r="BB324" s="51"/>
      <c r="BC324" s="51"/>
      <c r="BD324" s="51"/>
      <c r="BE324" s="51"/>
      <c r="BF324" s="51"/>
      <c r="BG324" s="51"/>
      <c r="BH324" s="51"/>
      <c r="BI324" s="51"/>
      <c r="BJ324" s="51"/>
      <c r="BK324" s="51"/>
      <c r="BL324" s="51"/>
      <c r="BM324" s="51"/>
    </row>
    <row r="325" spans="2:65" ht="19.5">
      <c r="B325" s="211" t="s">
        <v>264</v>
      </c>
      <c r="C325" s="251" t="s">
        <v>311</v>
      </c>
      <c r="D325" s="164"/>
      <c r="E325" s="221" t="s">
        <v>275</v>
      </c>
      <c r="F325" s="243">
        <f>Av.y/(2*tb)</f>
        <v>86.666666666666671</v>
      </c>
      <c r="G325" s="228" t="s">
        <v>28</v>
      </c>
      <c r="H325" s="56" t="s">
        <v>316</v>
      </c>
      <c r="I325" s="16"/>
      <c r="J325" s="34"/>
      <c r="K325" s="35"/>
      <c r="L325" s="15"/>
      <c r="M325" s="50"/>
      <c r="N325" s="50"/>
      <c r="O325" s="50"/>
      <c r="P325" s="50"/>
      <c r="Q325" s="50"/>
      <c r="R325" s="50"/>
      <c r="S325" s="50"/>
      <c r="T325" s="50"/>
      <c r="U325" s="50"/>
      <c r="V325" s="50"/>
      <c r="AC325" s="51"/>
      <c r="AD325" s="51"/>
      <c r="AE325" s="51"/>
      <c r="AF325" s="51"/>
      <c r="AG325" s="51"/>
      <c r="AH325" s="51"/>
      <c r="AI325" s="51"/>
      <c r="AJ325" s="51"/>
      <c r="AK325" s="51"/>
      <c r="AL325" s="51"/>
      <c r="AM325" s="51"/>
      <c r="AN325" s="51"/>
      <c r="AO325" s="51"/>
      <c r="AP325" s="51"/>
      <c r="AQ325" s="51"/>
      <c r="AR325" s="51"/>
      <c r="AS325" s="51"/>
      <c r="AW325" s="51"/>
      <c r="AX325" s="51"/>
      <c r="AY325" s="51"/>
      <c r="AZ325" s="51"/>
      <c r="BA325" s="51"/>
      <c r="BB325" s="51"/>
      <c r="BC325" s="51"/>
      <c r="BD325" s="51"/>
      <c r="BE325" s="51"/>
      <c r="BF325" s="51"/>
      <c r="BG325" s="51"/>
      <c r="BH325" s="51"/>
      <c r="BI325" s="51"/>
      <c r="BJ325" s="51"/>
      <c r="BK325" s="51"/>
      <c r="BL325" s="51"/>
      <c r="BM325" s="51"/>
    </row>
    <row r="326" spans="2:65" ht="19.5">
      <c r="B326" s="211" t="s">
        <v>314</v>
      </c>
      <c r="C326" s="254"/>
      <c r="D326" s="164"/>
      <c r="E326" s="176"/>
      <c r="F326" s="244">
        <f>VEd.y/VPl.Rd.y</f>
        <v>0.13314788731044444</v>
      </c>
      <c r="G326" s="228" t="s">
        <v>22</v>
      </c>
      <c r="I326" s="16"/>
      <c r="J326" s="34"/>
      <c r="K326" s="35"/>
      <c r="L326" s="15"/>
      <c r="M326" s="50"/>
      <c r="N326" s="50"/>
      <c r="O326" s="50"/>
      <c r="P326" s="50"/>
      <c r="Q326" s="50"/>
      <c r="R326" s="50"/>
      <c r="S326" s="50"/>
      <c r="T326" s="50"/>
      <c r="U326" s="50"/>
      <c r="V326" s="50"/>
      <c r="AC326" s="51"/>
      <c r="AD326" s="51"/>
      <c r="AE326" s="51"/>
      <c r="AF326" s="51"/>
      <c r="AG326" s="51"/>
      <c r="AH326" s="51"/>
      <c r="AI326" s="51"/>
      <c r="AJ326" s="51"/>
      <c r="AK326" s="51"/>
      <c r="AL326" s="51"/>
      <c r="AM326" s="51"/>
      <c r="AN326" s="51"/>
      <c r="AO326" s="51"/>
      <c r="AP326" s="51"/>
      <c r="AQ326" s="51"/>
      <c r="AR326" s="51"/>
      <c r="AS326" s="51"/>
      <c r="AW326" s="51"/>
      <c r="AX326" s="51"/>
      <c r="AY326" s="51"/>
      <c r="AZ326" s="51"/>
      <c r="BA326" s="51"/>
      <c r="BB326" s="51"/>
      <c r="BC326" s="51"/>
      <c r="BD326" s="51"/>
      <c r="BE326" s="51"/>
      <c r="BF326" s="51"/>
      <c r="BG326" s="51"/>
      <c r="BH326" s="51"/>
      <c r="BI326" s="51"/>
      <c r="BJ326" s="51"/>
      <c r="BK326" s="51"/>
      <c r="BL326" s="51"/>
      <c r="BM326" s="51"/>
    </row>
    <row r="327" spans="2:65" ht="20.25">
      <c r="B327" s="209" t="s">
        <v>265</v>
      </c>
      <c r="C327" s="252" t="s">
        <v>189</v>
      </c>
      <c r="D327" s="174"/>
      <c r="E327" s="222" t="s">
        <v>273</v>
      </c>
      <c r="F327" s="246">
        <f>IF(F326&gt;0.5,fyield*(1-(2*VEd.y/VPl.Rd.y-1)^2),fyield)</f>
        <v>355</v>
      </c>
      <c r="G327" s="229" t="s">
        <v>167</v>
      </c>
      <c r="I327" s="16"/>
      <c r="J327" s="34"/>
      <c r="K327" s="35"/>
      <c r="L327" s="15"/>
      <c r="M327" s="50"/>
      <c r="N327" s="50"/>
      <c r="O327" s="50"/>
      <c r="P327" s="50"/>
      <c r="Q327" s="50"/>
      <c r="R327" s="50"/>
      <c r="S327" s="50"/>
      <c r="T327" s="50"/>
      <c r="U327" s="50"/>
      <c r="V327" s="50"/>
      <c r="AC327" s="51"/>
      <c r="AD327" s="51"/>
      <c r="AE327" s="51"/>
      <c r="AF327" s="51"/>
      <c r="AG327" s="51"/>
      <c r="AH327" s="51"/>
      <c r="AI327" s="51"/>
      <c r="AJ327" s="51"/>
      <c r="AK327" s="51"/>
      <c r="AL327" s="51"/>
      <c r="AM327" s="51"/>
      <c r="AN327" s="51"/>
      <c r="AO327" s="51"/>
      <c r="AP327" s="51"/>
      <c r="AQ327" s="51"/>
      <c r="AR327" s="51"/>
      <c r="AS327" s="51"/>
      <c r="AW327" s="51"/>
      <c r="AX327" s="51"/>
      <c r="AY327" s="51"/>
      <c r="AZ327" s="51"/>
      <c r="BA327" s="51"/>
      <c r="BB327" s="51"/>
      <c r="BC327" s="51"/>
      <c r="BD327" s="51"/>
      <c r="BE327" s="51"/>
      <c r="BF327" s="51"/>
      <c r="BG327" s="51"/>
      <c r="BH327" s="51"/>
      <c r="BI327" s="51"/>
      <c r="BJ327" s="51"/>
      <c r="BK327" s="51"/>
      <c r="BL327" s="51"/>
      <c r="BM327" s="51"/>
    </row>
    <row r="328" spans="2:65" ht="15" customHeight="1">
      <c r="B328" s="351" t="s">
        <v>199</v>
      </c>
      <c r="C328" s="352"/>
      <c r="D328" s="352"/>
      <c r="E328" s="352"/>
      <c r="F328" s="352"/>
      <c r="G328" s="353"/>
      <c r="H328" s="11"/>
      <c r="I328" s="16"/>
      <c r="J328" s="34"/>
      <c r="K328" s="35"/>
      <c r="L328" s="15"/>
      <c r="M328" s="50"/>
      <c r="N328" s="50"/>
      <c r="O328" s="50"/>
      <c r="P328" s="50"/>
      <c r="Q328" s="50"/>
      <c r="R328" s="50"/>
      <c r="S328" s="50"/>
      <c r="T328" s="50"/>
      <c r="U328" s="50"/>
      <c r="V328" s="50"/>
      <c r="AC328" s="51"/>
      <c r="AD328" s="51"/>
      <c r="AE328" s="51"/>
      <c r="AF328" s="51"/>
      <c r="AG328" s="51"/>
      <c r="AH328" s="51"/>
      <c r="AI328" s="51"/>
      <c r="AJ328" s="51"/>
      <c r="AK328" s="51"/>
      <c r="AL328" s="51"/>
      <c r="AM328" s="51"/>
      <c r="AN328" s="51"/>
      <c r="AO328" s="51"/>
      <c r="AP328" s="51"/>
      <c r="AQ328" s="51"/>
      <c r="AR328" s="51"/>
      <c r="AS328" s="51"/>
      <c r="AW328" s="51"/>
      <c r="AX328" s="51"/>
      <c r="AY328" s="51"/>
      <c r="AZ328" s="51"/>
      <c r="BA328" s="51"/>
      <c r="BB328" s="51"/>
      <c r="BC328" s="51"/>
      <c r="BD328" s="51"/>
      <c r="BE328" s="51"/>
      <c r="BF328" s="51"/>
      <c r="BG328" s="51"/>
      <c r="BH328" s="51"/>
      <c r="BI328" s="51"/>
      <c r="BJ328" s="51"/>
      <c r="BK328" s="51"/>
      <c r="BL328" s="51"/>
      <c r="BM328" s="51"/>
    </row>
    <row r="329" spans="2:65" ht="20.25">
      <c r="B329" s="230" t="s">
        <v>296</v>
      </c>
      <c r="C329" s="251" t="s">
        <v>279</v>
      </c>
      <c r="D329" s="167"/>
      <c r="E329" s="223" t="s">
        <v>274</v>
      </c>
      <c r="F329" s="248">
        <f>1/4*tb*heff.z^2*(fyield-fy.red.z)*2/1000000</f>
        <v>0</v>
      </c>
      <c r="G329" s="228" t="s">
        <v>179</v>
      </c>
      <c r="I329" s="16"/>
      <c r="J329" s="34"/>
      <c r="K329" s="35"/>
      <c r="L329" s="15"/>
      <c r="M329" s="50"/>
      <c r="N329" s="50"/>
      <c r="O329" s="50"/>
      <c r="P329" s="50"/>
      <c r="Q329" s="50"/>
      <c r="R329" s="50"/>
      <c r="S329" s="50"/>
      <c r="T329" s="50"/>
      <c r="U329" s="50"/>
      <c r="V329" s="50"/>
      <c r="AC329" s="51"/>
      <c r="AD329" s="51"/>
      <c r="AE329" s="51"/>
      <c r="AF329" s="51"/>
      <c r="AG329" s="51"/>
      <c r="AH329" s="51"/>
      <c r="AI329" s="51"/>
      <c r="AJ329" s="51"/>
      <c r="AK329" s="51"/>
      <c r="AL329" s="51"/>
      <c r="AM329" s="51"/>
      <c r="AN329" s="51"/>
      <c r="AO329" s="51"/>
      <c r="AP329" s="51"/>
      <c r="AQ329" s="51"/>
      <c r="AR329" s="51"/>
      <c r="AS329" s="51"/>
      <c r="AW329" s="51"/>
      <c r="AX329" s="51"/>
      <c r="AY329" s="51"/>
      <c r="AZ329" s="51"/>
      <c r="BA329" s="51"/>
      <c r="BB329" s="51"/>
      <c r="BC329" s="51"/>
      <c r="BD329" s="51"/>
      <c r="BE329" s="51"/>
      <c r="BF329" s="51"/>
      <c r="BG329" s="51"/>
      <c r="BH329" s="51"/>
      <c r="BI329" s="51"/>
      <c r="BJ329" s="51"/>
      <c r="BK329" s="51"/>
      <c r="BL329" s="51"/>
      <c r="BM329" s="51"/>
    </row>
    <row r="330" spans="2:65" ht="19.5">
      <c r="B330" s="231" t="s">
        <v>270</v>
      </c>
      <c r="C330" s="252" t="s">
        <v>278</v>
      </c>
      <c r="D330" s="169"/>
      <c r="E330" s="224" t="s">
        <v>235</v>
      </c>
      <c r="F330" s="249">
        <f>tb*heff.y*(fyield-fy.red.y)*(hb-tb)/2*2/1000000</f>
        <v>0</v>
      </c>
      <c r="G330" s="229" t="s">
        <v>179</v>
      </c>
      <c r="I330" s="16"/>
      <c r="J330" s="34"/>
      <c r="K330" s="35"/>
      <c r="L330" s="15"/>
      <c r="M330" s="50"/>
      <c r="N330" s="50"/>
      <c r="O330" s="50"/>
      <c r="P330" s="50"/>
      <c r="Q330" s="50"/>
      <c r="R330" s="50"/>
      <c r="S330" s="50"/>
      <c r="T330" s="50"/>
      <c r="U330" s="50"/>
      <c r="V330" s="50"/>
      <c r="AC330" s="51"/>
      <c r="AD330" s="51"/>
      <c r="AE330" s="51"/>
      <c r="AF330" s="51"/>
      <c r="AG330" s="51"/>
      <c r="AH330" s="51"/>
      <c r="AI330" s="51"/>
      <c r="AJ330" s="51"/>
      <c r="AK330" s="51"/>
      <c r="AL330" s="51"/>
      <c r="AM330" s="51"/>
      <c r="AN330" s="51"/>
      <c r="AO330" s="51"/>
      <c r="AP330" s="51"/>
      <c r="AQ330" s="51"/>
      <c r="AR330" s="51"/>
      <c r="AS330" s="51"/>
      <c r="AW330" s="51"/>
      <c r="AX330" s="51"/>
      <c r="AY330" s="51"/>
      <c r="AZ330" s="51"/>
      <c r="BA330" s="51"/>
      <c r="BB330" s="51"/>
      <c r="BC330" s="51"/>
      <c r="BD330" s="51"/>
      <c r="BE330" s="51"/>
      <c r="BF330" s="51"/>
      <c r="BG330" s="51"/>
      <c r="BH330" s="51"/>
      <c r="BI330" s="51"/>
      <c r="BJ330" s="51"/>
      <c r="BK330" s="51"/>
      <c r="BL330" s="51"/>
      <c r="BM330" s="51"/>
    </row>
    <row r="331" spans="2:65" ht="19.5">
      <c r="B331" s="210" t="s">
        <v>266</v>
      </c>
      <c r="C331" s="168"/>
      <c r="D331" s="401" t="s">
        <v>236</v>
      </c>
      <c r="E331" s="402"/>
      <c r="F331" s="247">
        <f>MPl.Rd.y-F329-F330</f>
        <v>9.6357142857142861</v>
      </c>
      <c r="G331" s="229" t="s">
        <v>179</v>
      </c>
      <c r="I331" s="16"/>
      <c r="J331" s="34"/>
      <c r="K331" s="35"/>
      <c r="L331" s="15"/>
      <c r="M331" s="50"/>
      <c r="N331" s="50"/>
      <c r="O331" s="50"/>
      <c r="P331" s="50"/>
      <c r="Q331" s="50"/>
      <c r="R331" s="50"/>
      <c r="S331" s="50"/>
      <c r="T331" s="50"/>
      <c r="U331" s="50"/>
      <c r="V331" s="50"/>
      <c r="AC331" s="51"/>
      <c r="AD331" s="51"/>
      <c r="AE331" s="51"/>
      <c r="AF331" s="51"/>
      <c r="AG331" s="51"/>
      <c r="AH331" s="51"/>
      <c r="AI331" s="51"/>
      <c r="AJ331" s="51"/>
      <c r="AK331" s="51"/>
      <c r="AL331" s="51"/>
      <c r="AM331" s="51"/>
      <c r="AN331" s="51"/>
      <c r="AO331" s="51"/>
      <c r="AP331" s="51"/>
      <c r="AQ331" s="51"/>
      <c r="AR331" s="51"/>
      <c r="AS331" s="51"/>
      <c r="AW331" s="51"/>
      <c r="AX331" s="51"/>
      <c r="AY331" s="51"/>
      <c r="AZ331" s="51"/>
      <c r="BA331" s="51"/>
      <c r="BB331" s="51"/>
      <c r="BC331" s="51"/>
      <c r="BD331" s="51"/>
      <c r="BE331" s="51"/>
      <c r="BF331" s="51"/>
      <c r="BG331" s="51"/>
      <c r="BH331" s="51"/>
      <c r="BI331" s="51"/>
      <c r="BJ331" s="51"/>
      <c r="BK331" s="51"/>
      <c r="BL331" s="51"/>
      <c r="BM331" s="51"/>
    </row>
    <row r="332" spans="2:65" ht="15" customHeight="1">
      <c r="B332" s="351" t="s">
        <v>200</v>
      </c>
      <c r="C332" s="352"/>
      <c r="D332" s="352"/>
      <c r="E332" s="352"/>
      <c r="F332" s="352"/>
      <c r="G332" s="353"/>
      <c r="H332" s="11"/>
      <c r="I332" s="16"/>
      <c r="J332" s="34"/>
      <c r="K332" s="35"/>
      <c r="L332" s="15"/>
      <c r="M332" s="50"/>
      <c r="N332" s="50"/>
      <c r="O332" s="50"/>
      <c r="P332" s="50"/>
      <c r="Q332" s="50"/>
      <c r="R332" s="50"/>
      <c r="S332" s="50"/>
      <c r="T332" s="50"/>
      <c r="U332" s="50"/>
      <c r="V332" s="50"/>
      <c r="AC332" s="51"/>
      <c r="AD332" s="51"/>
      <c r="AE332" s="51"/>
      <c r="AF332" s="51"/>
      <c r="AG332" s="51"/>
      <c r="AH332" s="51"/>
      <c r="AI332" s="51"/>
      <c r="AJ332" s="51"/>
      <c r="AK332" s="51"/>
      <c r="AL332" s="51"/>
      <c r="AM332" s="51"/>
      <c r="AN332" s="51"/>
      <c r="AO332" s="51"/>
      <c r="AP332" s="51"/>
      <c r="AQ332" s="51"/>
      <c r="AR332" s="51"/>
      <c r="AS332" s="51"/>
      <c r="AW332" s="51"/>
      <c r="AX332" s="51"/>
      <c r="AY332" s="51"/>
      <c r="AZ332" s="51"/>
      <c r="BA332" s="51"/>
      <c r="BB332" s="51"/>
      <c r="BC332" s="51"/>
      <c r="BD332" s="51"/>
      <c r="BE332" s="51"/>
      <c r="BF332" s="51"/>
      <c r="BG332" s="51"/>
      <c r="BH332" s="51"/>
      <c r="BI332" s="51"/>
      <c r="BJ332" s="51"/>
      <c r="BK332" s="51"/>
      <c r="BL332" s="51"/>
      <c r="BM332" s="51"/>
    </row>
    <row r="333" spans="2:65" ht="19.5">
      <c r="B333" s="230" t="s">
        <v>269</v>
      </c>
      <c r="C333" s="251" t="s">
        <v>277</v>
      </c>
      <c r="D333" s="167"/>
      <c r="E333" s="223" t="s">
        <v>315</v>
      </c>
      <c r="F333" s="248">
        <f>tb*heff.z*(fyield-fy.red.z)*(wb-tb)/2*2/1000000</f>
        <v>0</v>
      </c>
      <c r="G333" s="228" t="s">
        <v>179</v>
      </c>
      <c r="I333" s="16"/>
      <c r="J333" s="34"/>
      <c r="K333" s="35"/>
      <c r="L333" s="15"/>
      <c r="M333" s="50"/>
      <c r="N333" s="50"/>
      <c r="O333" s="50"/>
      <c r="P333" s="50"/>
      <c r="Q333" s="50"/>
      <c r="R333" s="50"/>
      <c r="S333" s="50"/>
      <c r="T333" s="50"/>
      <c r="U333" s="50"/>
      <c r="V333" s="50"/>
      <c r="AC333" s="51"/>
      <c r="AD333" s="51"/>
      <c r="AE333" s="51"/>
      <c r="AF333" s="51"/>
      <c r="AG333" s="51"/>
      <c r="AH333" s="51"/>
      <c r="AI333" s="51"/>
      <c r="AJ333" s="51"/>
      <c r="AK333" s="51"/>
      <c r="AL333" s="51"/>
      <c r="AM333" s="51"/>
      <c r="AN333" s="51"/>
      <c r="AO333" s="51"/>
      <c r="AP333" s="51"/>
      <c r="AQ333" s="51"/>
      <c r="AR333" s="51"/>
      <c r="AS333" s="51"/>
      <c r="AW333" s="51"/>
      <c r="AX333" s="51"/>
      <c r="AY333" s="51"/>
      <c r="AZ333" s="51"/>
      <c r="BA333" s="51"/>
      <c r="BB333" s="51"/>
      <c r="BC333" s="51"/>
      <c r="BD333" s="51"/>
      <c r="BE333" s="51"/>
      <c r="BF333" s="51"/>
      <c r="BG333" s="51"/>
      <c r="BH333" s="51"/>
      <c r="BI333" s="51"/>
      <c r="BJ333" s="51"/>
      <c r="BK333" s="51"/>
      <c r="BL333" s="51"/>
      <c r="BM333" s="51"/>
    </row>
    <row r="334" spans="2:65" ht="20.25">
      <c r="B334" s="231" t="s">
        <v>268</v>
      </c>
      <c r="C334" s="250" t="s">
        <v>276</v>
      </c>
      <c r="D334" s="169"/>
      <c r="E334" s="224" t="s">
        <v>237</v>
      </c>
      <c r="F334" s="249">
        <f>1/4*tb*heff.z^2*(fyield-fy.red.y)*2/1000000</f>
        <v>0</v>
      </c>
      <c r="G334" s="229" t="s">
        <v>179</v>
      </c>
      <c r="I334" s="16"/>
      <c r="J334" s="34"/>
      <c r="K334" s="35"/>
      <c r="L334" s="15"/>
      <c r="M334" s="50"/>
      <c r="N334" s="50"/>
      <c r="O334" s="50"/>
      <c r="P334" s="50"/>
      <c r="Q334" s="50"/>
      <c r="R334" s="50"/>
      <c r="S334" s="50"/>
      <c r="T334" s="50"/>
      <c r="U334" s="50"/>
      <c r="V334" s="50"/>
      <c r="AC334" s="51"/>
      <c r="AD334" s="51"/>
      <c r="AE334" s="51"/>
      <c r="AF334" s="51"/>
      <c r="AG334" s="51"/>
      <c r="AH334" s="51"/>
      <c r="AI334" s="51"/>
      <c r="AJ334" s="51"/>
      <c r="AK334" s="51"/>
      <c r="AL334" s="51"/>
      <c r="AM334" s="51"/>
      <c r="AN334" s="51"/>
      <c r="AO334" s="51"/>
      <c r="AP334" s="51"/>
      <c r="AQ334" s="51"/>
      <c r="AR334" s="51"/>
      <c r="AS334" s="51"/>
      <c r="AW334" s="51"/>
      <c r="AX334" s="51"/>
      <c r="AY334" s="51"/>
      <c r="AZ334" s="51"/>
      <c r="BA334" s="51"/>
      <c r="BB334" s="51"/>
      <c r="BC334" s="51"/>
      <c r="BD334" s="51"/>
      <c r="BE334" s="51"/>
      <c r="BF334" s="51"/>
      <c r="BG334" s="51"/>
      <c r="BH334" s="51"/>
      <c r="BI334" s="51"/>
      <c r="BJ334" s="51"/>
      <c r="BK334" s="51"/>
      <c r="BL334" s="51"/>
      <c r="BM334" s="51"/>
    </row>
    <row r="335" spans="2:65" ht="19.5">
      <c r="B335" s="210" t="s">
        <v>267</v>
      </c>
      <c r="C335" s="170"/>
      <c r="D335" s="169"/>
      <c r="E335" s="225" t="s">
        <v>238</v>
      </c>
      <c r="F335" s="247">
        <f>Mpl.Rd.z-F333-F334</f>
        <v>15.856666666666666</v>
      </c>
      <c r="G335" s="229" t="s">
        <v>179</v>
      </c>
      <c r="I335" s="16"/>
      <c r="J335" s="34"/>
      <c r="K335" s="35"/>
      <c r="L335" s="15"/>
      <c r="M335" s="50"/>
      <c r="N335" s="50"/>
      <c r="O335" s="50"/>
      <c r="P335" s="50"/>
      <c r="Q335" s="50"/>
      <c r="R335" s="50"/>
      <c r="S335" s="50"/>
      <c r="T335" s="50"/>
      <c r="U335" s="50"/>
      <c r="V335" s="50"/>
      <c r="AC335" s="51"/>
      <c r="AD335" s="51"/>
      <c r="AE335" s="51"/>
      <c r="AF335" s="51"/>
      <c r="AG335" s="51"/>
      <c r="AH335" s="51"/>
      <c r="AI335" s="51"/>
      <c r="AJ335" s="51"/>
      <c r="AK335" s="51"/>
      <c r="AL335" s="51"/>
      <c r="AM335" s="51"/>
      <c r="AN335" s="51"/>
      <c r="AO335" s="51"/>
      <c r="AP335" s="51"/>
      <c r="AQ335" s="51"/>
      <c r="AR335" s="51"/>
      <c r="AS335" s="51"/>
      <c r="AW335" s="51"/>
      <c r="AX335" s="51"/>
      <c r="AY335" s="51"/>
      <c r="AZ335" s="51"/>
      <c r="BA335" s="51"/>
      <c r="BB335" s="51"/>
      <c r="BC335" s="51"/>
      <c r="BD335" s="51"/>
      <c r="BE335" s="51"/>
      <c r="BF335" s="51"/>
      <c r="BG335" s="51"/>
      <c r="BH335" s="51"/>
      <c r="BI335" s="51"/>
      <c r="BJ335" s="51"/>
      <c r="BK335" s="51"/>
      <c r="BL335" s="51"/>
      <c r="BM335" s="51"/>
    </row>
    <row r="336" spans="2:65" ht="15.75">
      <c r="B336" s="351" t="s">
        <v>191</v>
      </c>
      <c r="C336" s="352"/>
      <c r="D336" s="352"/>
      <c r="E336" s="352"/>
      <c r="F336" s="352"/>
      <c r="G336" s="353"/>
      <c r="H336" s="11"/>
      <c r="I336" s="16"/>
      <c r="J336" s="34"/>
      <c r="K336" s="35"/>
      <c r="L336" s="15"/>
      <c r="M336" s="50"/>
      <c r="N336" s="50"/>
      <c r="O336" s="50"/>
      <c r="P336" s="50"/>
      <c r="Q336" s="50"/>
      <c r="R336" s="50"/>
      <c r="S336" s="50"/>
      <c r="T336" s="50"/>
      <c r="U336" s="50"/>
      <c r="V336" s="50"/>
      <c r="AC336" s="51"/>
      <c r="AD336" s="51"/>
      <c r="AE336" s="51"/>
      <c r="AF336" s="51"/>
      <c r="AG336" s="51"/>
      <c r="AH336" s="51"/>
      <c r="AI336" s="51"/>
      <c r="AJ336" s="51"/>
      <c r="AK336" s="51"/>
      <c r="AL336" s="51"/>
      <c r="AM336" s="51"/>
      <c r="AN336" s="51"/>
      <c r="AO336" s="51"/>
      <c r="AP336" s="51"/>
      <c r="AQ336" s="51"/>
      <c r="AR336" s="51"/>
      <c r="AS336" s="51"/>
      <c r="AW336" s="51"/>
      <c r="AX336" s="51"/>
      <c r="AY336" s="51"/>
      <c r="AZ336" s="51"/>
      <c r="BA336" s="51"/>
      <c r="BB336" s="51"/>
      <c r="BC336" s="51"/>
      <c r="BD336" s="51"/>
      <c r="BE336" s="51"/>
      <c r="BF336" s="51"/>
      <c r="BG336" s="51"/>
      <c r="BH336" s="51"/>
      <c r="BI336" s="51"/>
      <c r="BJ336" s="51"/>
      <c r="BK336" s="51"/>
      <c r="BL336" s="51"/>
      <c r="BM336" s="51"/>
    </row>
    <row r="337" spans="2:65" ht="19.5">
      <c r="B337" s="215" t="s">
        <v>222</v>
      </c>
      <c r="C337" s="171"/>
      <c r="D337" s="166"/>
      <c r="E337" s="226" t="str">
        <f>""&amp;ROUND(VEd.z,2)&amp;"kN / "&amp;ROUND(VPl.Rd.z,2)&amp;"kN = "</f>
        <v xml:space="preserve">33,13kN / 101,5kN = </v>
      </c>
      <c r="F337" s="232">
        <f>F318</f>
        <v>0.32639212035479276</v>
      </c>
      <c r="G337" s="228" t="s">
        <v>22</v>
      </c>
      <c r="H337" s="11"/>
      <c r="I337" s="16"/>
      <c r="J337" s="34"/>
      <c r="K337" s="35"/>
      <c r="L337" s="15"/>
      <c r="M337" s="50"/>
      <c r="N337" s="50"/>
      <c r="O337" s="50"/>
      <c r="P337" s="50"/>
      <c r="Q337" s="50"/>
      <c r="R337" s="50"/>
      <c r="S337" s="50"/>
      <c r="T337" s="50"/>
      <c r="U337" s="50"/>
      <c r="V337" s="50"/>
      <c r="AC337" s="51"/>
      <c r="AD337" s="51"/>
      <c r="AE337" s="51"/>
      <c r="AF337" s="51"/>
      <c r="AG337" s="51"/>
      <c r="AH337" s="51"/>
      <c r="AI337" s="51"/>
      <c r="AJ337" s="51"/>
      <c r="AK337" s="51"/>
      <c r="AL337" s="51"/>
      <c r="AM337" s="51"/>
      <c r="AN337" s="51"/>
      <c r="AO337" s="51"/>
      <c r="AP337" s="51"/>
      <c r="AQ337" s="51"/>
      <c r="AR337" s="51"/>
      <c r="AS337" s="51"/>
      <c r="AW337" s="51"/>
      <c r="AX337" s="51"/>
      <c r="AY337" s="51"/>
      <c r="AZ337" s="51"/>
      <c r="BA337" s="51"/>
      <c r="BB337" s="51"/>
      <c r="BC337" s="51"/>
      <c r="BD337" s="51"/>
      <c r="BE337" s="51"/>
      <c r="BF337" s="51"/>
      <c r="BG337" s="51"/>
      <c r="BH337" s="51"/>
      <c r="BI337" s="51"/>
      <c r="BJ337" s="51"/>
      <c r="BK337" s="51"/>
      <c r="BL337" s="51"/>
      <c r="BM337" s="51"/>
    </row>
    <row r="338" spans="2:65" ht="19.5">
      <c r="B338" s="216" t="s">
        <v>223</v>
      </c>
      <c r="C338" s="172"/>
      <c r="D338" s="166"/>
      <c r="E338" s="226" t="str">
        <f>""&amp;ROUND(VEd.y,2)&amp;"kN / "&amp;ROUND(VPl.Rd.y,2)&amp;"kN = "</f>
        <v xml:space="preserve">27,03kN / 203,01kN = </v>
      </c>
      <c r="F338" s="233">
        <f>F326</f>
        <v>0.13314788731044444</v>
      </c>
      <c r="G338" s="228" t="s">
        <v>22</v>
      </c>
      <c r="H338" s="11"/>
      <c r="I338" s="16"/>
      <c r="J338" s="34"/>
      <c r="K338" s="35"/>
      <c r="L338" s="15"/>
      <c r="M338" s="50"/>
      <c r="N338" s="50"/>
      <c r="O338" s="50"/>
      <c r="P338" s="50"/>
      <c r="Q338" s="50"/>
      <c r="R338" s="50"/>
      <c r="S338" s="50"/>
      <c r="T338" s="50"/>
      <c r="U338" s="50"/>
      <c r="V338" s="50"/>
      <c r="AC338" s="51"/>
      <c r="AD338" s="51"/>
      <c r="AE338" s="51"/>
      <c r="AF338" s="51"/>
      <c r="AG338" s="51"/>
      <c r="AH338" s="51"/>
      <c r="AI338" s="51"/>
      <c r="AJ338" s="51"/>
      <c r="AK338" s="51"/>
      <c r="AL338" s="51"/>
      <c r="AM338" s="51"/>
      <c r="AN338" s="51"/>
      <c r="AO338" s="51"/>
      <c r="AP338" s="51"/>
      <c r="AQ338" s="51"/>
      <c r="AR338" s="51"/>
      <c r="AS338" s="51"/>
      <c r="AW338" s="51"/>
      <c r="AX338" s="51"/>
      <c r="AY338" s="51"/>
      <c r="AZ338" s="51"/>
      <c r="BA338" s="51"/>
      <c r="BB338" s="51"/>
      <c r="BC338" s="51"/>
      <c r="BD338" s="51"/>
      <c r="BE338" s="51"/>
      <c r="BF338" s="51"/>
      <c r="BG338" s="51"/>
      <c r="BH338" s="51"/>
      <c r="BI338" s="51"/>
      <c r="BJ338" s="51"/>
      <c r="BK338" s="51"/>
      <c r="BL338" s="51"/>
      <c r="BM338" s="51"/>
    </row>
    <row r="339" spans="2:65" ht="19.5">
      <c r="B339" s="216" t="s">
        <v>224</v>
      </c>
      <c r="C339" s="172"/>
      <c r="D339" s="166"/>
      <c r="E339" s="226" t="str">
        <f>""&amp;ROUND(MEd.y,2)&amp;"kNm / "&amp;ROUND(MPl.Rd.Red.y,2)&amp;"kNm = "</f>
        <v xml:space="preserve">3,2kNm / 9,64kNm = </v>
      </c>
      <c r="F339" s="233">
        <f>MEd.y/MPl.Rd.Red.y</f>
        <v>0.33213500370644922</v>
      </c>
      <c r="G339" s="228" t="s">
        <v>22</v>
      </c>
      <c r="H339" s="11"/>
      <c r="I339" s="16"/>
      <c r="J339" s="34"/>
      <c r="K339" s="35"/>
      <c r="L339" s="15"/>
      <c r="M339" s="50"/>
      <c r="N339" s="50"/>
      <c r="O339" s="50"/>
      <c r="P339" s="50"/>
      <c r="Q339" s="50"/>
      <c r="R339" s="50"/>
      <c r="S339" s="50"/>
      <c r="T339" s="50"/>
      <c r="U339" s="50"/>
      <c r="V339" s="50"/>
      <c r="AC339" s="51"/>
      <c r="AD339" s="51"/>
      <c r="AE339" s="51"/>
      <c r="AF339" s="51"/>
      <c r="AG339" s="51"/>
      <c r="AH339" s="51"/>
      <c r="AI339" s="51"/>
      <c r="AJ339" s="51"/>
      <c r="AK339" s="51"/>
      <c r="AL339" s="51"/>
      <c r="AM339" s="51"/>
      <c r="AN339" s="51"/>
      <c r="AO339" s="51"/>
      <c r="AP339" s="51"/>
      <c r="AQ339" s="51"/>
      <c r="AR339" s="51"/>
      <c r="AS339" s="51"/>
      <c r="AW339" s="51"/>
      <c r="AX339" s="51"/>
      <c r="AY339" s="51"/>
      <c r="AZ339" s="51"/>
      <c r="BA339" s="51"/>
      <c r="BB339" s="51"/>
      <c r="BC339" s="51"/>
      <c r="BD339" s="51"/>
      <c r="BE339" s="51"/>
      <c r="BF339" s="51"/>
      <c r="BG339" s="51"/>
      <c r="BH339" s="51"/>
      <c r="BI339" s="51"/>
      <c r="BJ339" s="51"/>
      <c r="BK339" s="51"/>
      <c r="BL339" s="51"/>
      <c r="BM339" s="51"/>
    </row>
    <row r="340" spans="2:65" ht="19.5">
      <c r="B340" s="216" t="s">
        <v>225</v>
      </c>
      <c r="C340" s="172"/>
      <c r="D340" s="166"/>
      <c r="E340" s="226" t="str">
        <f>""&amp;ROUND(MEd.z,2)&amp;"kNm / "&amp;ROUND(MPl.Rd.Red.z,2)&amp;"kNm = "</f>
        <v xml:space="preserve">2,61kNm / 15,86kNm = </v>
      </c>
      <c r="F340" s="233">
        <f>MEd.z/MPl.Rd.Red.z</f>
        <v>0.16466878284633177</v>
      </c>
      <c r="G340" s="228" t="s">
        <v>22</v>
      </c>
      <c r="H340" s="11"/>
      <c r="I340" s="16"/>
      <c r="J340" s="34"/>
      <c r="K340" s="35"/>
      <c r="L340" s="15"/>
      <c r="M340" s="50"/>
      <c r="N340" s="50"/>
      <c r="O340" s="50"/>
      <c r="P340" s="50"/>
      <c r="Q340" s="50"/>
      <c r="R340" s="50"/>
      <c r="S340" s="50"/>
      <c r="T340" s="50"/>
      <c r="U340" s="50"/>
      <c r="V340" s="50"/>
      <c r="AC340" s="51"/>
      <c r="AD340" s="51"/>
      <c r="AE340" s="51"/>
      <c r="AF340" s="51"/>
      <c r="AG340" s="51"/>
      <c r="AH340" s="51"/>
      <c r="AI340" s="51"/>
      <c r="AJ340" s="51"/>
      <c r="AK340" s="51"/>
      <c r="AL340" s="51"/>
      <c r="AM340" s="51"/>
      <c r="AN340" s="51"/>
      <c r="AO340" s="51"/>
      <c r="AP340" s="51"/>
      <c r="AQ340" s="51"/>
      <c r="AR340" s="51"/>
      <c r="AS340" s="51"/>
      <c r="AW340" s="51"/>
      <c r="AX340" s="51"/>
      <c r="AY340" s="51"/>
      <c r="AZ340" s="51"/>
      <c r="BA340" s="51"/>
      <c r="BB340" s="51"/>
      <c r="BC340" s="51"/>
      <c r="BD340" s="51"/>
      <c r="BE340" s="51"/>
      <c r="BF340" s="51"/>
      <c r="BG340" s="51"/>
      <c r="BH340" s="51"/>
      <c r="BI340" s="51"/>
      <c r="BJ340" s="51"/>
      <c r="BK340" s="51"/>
      <c r="BL340" s="51"/>
      <c r="BM340" s="51"/>
    </row>
    <row r="341" spans="2:65" ht="18" customHeight="1">
      <c r="B341" s="357" t="s">
        <v>303</v>
      </c>
      <c r="C341" s="358"/>
      <c r="D341" s="166"/>
      <c r="E341" s="226" t="str">
        <f>"("&amp;ROUND(MEd.y,2)&amp;"kNm / "&amp;ROUND(MPl.Rd.Red.y,2)&amp;"kNm)^1.66 + "&amp;"("&amp;ROUND(MEd.z,2)&amp;"kNm / "&amp;ROUND(MPl.Rd.Red.z,2)&amp;"kNm)^1.66 ="</f>
        <v>(3,2kNm / 9,64kNm)^1.66 + (2,61kNm / 15,86kNm)^1.66 =</v>
      </c>
      <c r="F341" s="234">
        <f>F339^(1.66)+F340^(1.66)</f>
        <v>0.21053540602567081</v>
      </c>
      <c r="G341" s="228" t="s">
        <v>22</v>
      </c>
      <c r="H341" s="51" t="s">
        <v>304</v>
      </c>
      <c r="I341" s="16"/>
      <c r="J341" s="34"/>
      <c r="K341" s="35"/>
      <c r="L341" s="15"/>
      <c r="M341" s="50"/>
      <c r="N341" s="50"/>
      <c r="O341" s="50"/>
      <c r="P341" s="50"/>
      <c r="Q341" s="50"/>
      <c r="R341" s="50"/>
      <c r="S341" s="50"/>
      <c r="T341" s="50"/>
      <c r="U341" s="50"/>
      <c r="V341" s="50"/>
      <c r="AC341" s="51"/>
      <c r="AD341" s="51"/>
      <c r="AE341" s="51"/>
      <c r="AF341" s="51"/>
      <c r="AG341" s="51"/>
      <c r="AH341" s="51"/>
      <c r="AI341" s="51"/>
      <c r="AJ341" s="51"/>
      <c r="AK341" s="51"/>
      <c r="AL341" s="51"/>
      <c r="AM341" s="51"/>
      <c r="AN341" s="51"/>
      <c r="AO341" s="51"/>
      <c r="AP341" s="51"/>
      <c r="AQ341" s="51"/>
      <c r="AR341" s="51"/>
      <c r="AS341" s="51"/>
      <c r="AW341" s="51"/>
      <c r="AX341" s="51"/>
      <c r="AY341" s="51"/>
      <c r="AZ341" s="51"/>
      <c r="BA341" s="51"/>
      <c r="BB341" s="51"/>
      <c r="BC341" s="51"/>
      <c r="BD341" s="51"/>
      <c r="BE341" s="51"/>
      <c r="BF341" s="51"/>
      <c r="BG341" s="51"/>
      <c r="BH341" s="51"/>
      <c r="BI341" s="51"/>
      <c r="BJ341" s="51"/>
      <c r="BK341" s="51"/>
      <c r="BL341" s="51"/>
      <c r="BM341" s="51"/>
    </row>
    <row r="342" spans="2:65" ht="64.5" customHeight="1" thickBot="1">
      <c r="B342" s="354" t="s">
        <v>198</v>
      </c>
      <c r="C342" s="355"/>
      <c r="D342" s="355"/>
      <c r="E342" s="355"/>
      <c r="F342" s="355"/>
      <c r="G342" s="355"/>
      <c r="H342" s="355"/>
      <c r="I342" s="355"/>
      <c r="J342" s="355"/>
      <c r="K342" s="355"/>
      <c r="L342" s="356"/>
      <c r="M342" s="50"/>
      <c r="N342" s="50"/>
      <c r="O342" s="50"/>
      <c r="P342" s="50"/>
      <c r="Q342" s="50"/>
      <c r="R342" s="50"/>
      <c r="S342" s="50"/>
      <c r="T342" s="50"/>
      <c r="U342" s="50"/>
      <c r="V342" s="50"/>
      <c r="AC342" s="51"/>
      <c r="AD342" s="51"/>
      <c r="AE342" s="51"/>
      <c r="AF342" s="51"/>
      <c r="AG342" s="51"/>
      <c r="AH342" s="51"/>
      <c r="AI342" s="51"/>
      <c r="AJ342" s="51"/>
      <c r="AK342" s="51"/>
      <c r="AL342" s="51"/>
      <c r="AM342" s="51"/>
      <c r="AN342" s="51"/>
      <c r="AO342" s="51"/>
      <c r="AP342" s="51"/>
      <c r="AQ342" s="51"/>
      <c r="AR342" s="51"/>
      <c r="AS342" s="51"/>
      <c r="AW342" s="51"/>
      <c r="AX342" s="51"/>
      <c r="AY342" s="51"/>
      <c r="AZ342" s="51"/>
      <c r="BA342" s="51"/>
      <c r="BB342" s="51"/>
      <c r="BC342" s="51"/>
      <c r="BD342" s="51"/>
      <c r="BE342" s="51"/>
      <c r="BF342" s="51"/>
      <c r="BG342" s="51"/>
      <c r="BH342" s="51"/>
      <c r="BI342" s="51"/>
      <c r="BJ342" s="51"/>
      <c r="BK342" s="51"/>
      <c r="BL342" s="51"/>
      <c r="BM342" s="51"/>
    </row>
    <row r="343" spans="2:65" ht="15">
      <c r="B343" s="4"/>
      <c r="C343" s="4"/>
      <c r="E343" s="4"/>
      <c r="M343" s="50"/>
      <c r="N343" s="50"/>
      <c r="O343" s="50"/>
      <c r="P343" s="50"/>
      <c r="Q343" s="50"/>
      <c r="R343" s="50"/>
      <c r="S343" s="50"/>
      <c r="T343" s="50"/>
      <c r="U343" s="50"/>
      <c r="V343" s="50"/>
      <c r="AC343" s="51"/>
      <c r="AD343" s="51"/>
      <c r="AE343" s="51"/>
      <c r="AF343" s="51"/>
      <c r="AG343" s="51"/>
      <c r="AH343" s="51"/>
      <c r="AI343" s="51"/>
      <c r="AJ343" s="51"/>
      <c r="AK343" s="51"/>
      <c r="AL343" s="51"/>
      <c r="AM343" s="51"/>
      <c r="AN343" s="51"/>
      <c r="AO343" s="51"/>
      <c r="AP343" s="51"/>
      <c r="AQ343" s="51"/>
      <c r="AR343" s="51"/>
      <c r="AS343" s="51"/>
      <c r="AW343" s="51"/>
      <c r="AX343" s="51"/>
      <c r="AY343" s="51"/>
      <c r="AZ343" s="51"/>
      <c r="BA343" s="51"/>
      <c r="BB343" s="51"/>
      <c r="BC343" s="51"/>
      <c r="BD343" s="51"/>
      <c r="BE343" s="51"/>
      <c r="BF343" s="51"/>
      <c r="BG343" s="51"/>
      <c r="BH343" s="51"/>
      <c r="BI343" s="51"/>
      <c r="BJ343" s="51"/>
      <c r="BK343" s="51"/>
      <c r="BL343" s="51"/>
      <c r="BM343" s="51"/>
    </row>
    <row r="344" spans="2:65" ht="15">
      <c r="M344" s="50"/>
      <c r="N344" s="50"/>
      <c r="O344" s="50"/>
      <c r="P344" s="50"/>
      <c r="Q344" s="50"/>
      <c r="R344" s="50"/>
      <c r="S344" s="50"/>
      <c r="T344" s="50"/>
      <c r="U344" s="50"/>
      <c r="V344" s="50"/>
      <c r="AC344" s="51"/>
      <c r="AD344" s="51"/>
      <c r="AE344" s="51"/>
      <c r="AF344" s="51"/>
      <c r="AG344" s="51"/>
      <c r="AH344" s="51"/>
      <c r="AI344" s="51"/>
      <c r="AJ344" s="51"/>
      <c r="AK344" s="51"/>
      <c r="AL344" s="51"/>
      <c r="AM344" s="51"/>
      <c r="AN344" s="51"/>
      <c r="AO344" s="51"/>
      <c r="AP344" s="51"/>
      <c r="AQ344" s="51"/>
      <c r="AR344" s="51"/>
      <c r="AS344" s="51"/>
      <c r="AW344" s="51"/>
      <c r="AX344" s="51"/>
      <c r="AY344" s="51"/>
      <c r="AZ344" s="51"/>
      <c r="BA344" s="51"/>
      <c r="BB344" s="51"/>
      <c r="BC344" s="51"/>
      <c r="BD344" s="51"/>
      <c r="BE344" s="51"/>
      <c r="BF344" s="51"/>
      <c r="BG344" s="51"/>
      <c r="BH344" s="51"/>
      <c r="BI344" s="51"/>
      <c r="BJ344" s="51"/>
      <c r="BK344" s="51"/>
      <c r="BL344" s="51"/>
      <c r="BM344" s="51"/>
    </row>
    <row r="345" spans="2:65" ht="15">
      <c r="M345" s="50"/>
      <c r="N345" s="50"/>
      <c r="O345" s="50"/>
      <c r="P345" s="50"/>
      <c r="Q345" s="50"/>
      <c r="R345" s="50"/>
      <c r="S345" s="50"/>
      <c r="T345" s="50"/>
      <c r="U345" s="50"/>
      <c r="V345" s="50"/>
      <c r="AC345" s="51"/>
      <c r="AD345" s="51"/>
      <c r="AE345" s="51"/>
      <c r="AF345" s="51"/>
      <c r="AG345" s="51"/>
      <c r="AH345" s="51"/>
      <c r="AI345" s="51"/>
      <c r="AJ345" s="51"/>
      <c r="AK345" s="51"/>
      <c r="AL345" s="51"/>
      <c r="AM345" s="51"/>
      <c r="AN345" s="51"/>
      <c r="AO345" s="51"/>
      <c r="AP345" s="51"/>
      <c r="AQ345" s="51"/>
      <c r="AR345" s="51"/>
      <c r="AS345" s="51"/>
      <c r="AW345" s="51"/>
      <c r="AX345" s="51"/>
      <c r="AY345" s="51"/>
      <c r="AZ345" s="51"/>
      <c r="BA345" s="51"/>
      <c r="BB345" s="51"/>
      <c r="BC345" s="51"/>
      <c r="BD345" s="51"/>
      <c r="BE345" s="51"/>
      <c r="BF345" s="51"/>
      <c r="BG345" s="51"/>
      <c r="BH345" s="51"/>
      <c r="BI345" s="51"/>
      <c r="BJ345" s="51"/>
      <c r="BK345" s="51"/>
      <c r="BL345" s="51"/>
      <c r="BM345" s="51"/>
    </row>
    <row r="346" spans="2:65" ht="15">
      <c r="M346" s="50"/>
      <c r="N346" s="50"/>
      <c r="O346" s="50"/>
      <c r="P346" s="50"/>
      <c r="Q346" s="50"/>
      <c r="R346" s="50"/>
      <c r="S346" s="50"/>
      <c r="T346" s="50"/>
      <c r="U346" s="50"/>
      <c r="V346" s="50"/>
      <c r="AC346" s="51"/>
      <c r="AD346" s="51"/>
      <c r="AE346" s="51"/>
      <c r="AF346" s="51"/>
      <c r="AG346" s="51"/>
      <c r="AH346" s="51"/>
      <c r="AI346" s="51"/>
      <c r="AJ346" s="51"/>
      <c r="AK346" s="51"/>
      <c r="AL346" s="51"/>
      <c r="AM346" s="51"/>
      <c r="AN346" s="51"/>
      <c r="AO346" s="51"/>
      <c r="AP346" s="51"/>
      <c r="AQ346" s="51"/>
      <c r="AR346" s="51"/>
      <c r="AS346" s="51"/>
      <c r="AW346" s="51"/>
      <c r="AX346" s="51"/>
      <c r="AY346" s="51"/>
      <c r="AZ346" s="51"/>
      <c r="BA346" s="51"/>
      <c r="BB346" s="51"/>
      <c r="BC346" s="51"/>
      <c r="BD346" s="51"/>
      <c r="BE346" s="51"/>
      <c r="BF346" s="51"/>
      <c r="BG346" s="51"/>
      <c r="BH346" s="51"/>
      <c r="BI346" s="51"/>
      <c r="BJ346" s="51"/>
      <c r="BK346" s="51"/>
      <c r="BL346" s="51"/>
      <c r="BM346" s="51"/>
    </row>
    <row r="347" spans="2:65" ht="15">
      <c r="M347" s="50"/>
      <c r="N347" s="50"/>
      <c r="O347" s="50"/>
      <c r="P347" s="50"/>
      <c r="Q347" s="50"/>
      <c r="R347" s="50"/>
      <c r="S347" s="50"/>
      <c r="T347" s="50"/>
      <c r="U347" s="50"/>
      <c r="V347" s="50"/>
      <c r="AC347" s="51"/>
      <c r="AD347" s="51"/>
      <c r="AE347" s="51"/>
      <c r="AF347" s="51"/>
      <c r="AG347" s="51"/>
      <c r="AH347" s="51"/>
      <c r="AI347" s="51"/>
      <c r="AJ347" s="51"/>
      <c r="AK347" s="51"/>
      <c r="AL347" s="51"/>
      <c r="AM347" s="51"/>
      <c r="AN347" s="51"/>
      <c r="AO347" s="51"/>
      <c r="AP347" s="51"/>
      <c r="AQ347" s="51"/>
      <c r="AR347" s="51"/>
      <c r="AS347" s="51"/>
      <c r="AW347" s="51"/>
      <c r="AX347" s="51"/>
      <c r="AY347" s="51"/>
      <c r="AZ347" s="51"/>
      <c r="BA347" s="51"/>
      <c r="BB347" s="51"/>
      <c r="BC347" s="51"/>
      <c r="BD347" s="51"/>
      <c r="BE347" s="51"/>
      <c r="BF347" s="51"/>
      <c r="BG347" s="51"/>
      <c r="BH347" s="51"/>
      <c r="BI347" s="51"/>
      <c r="BJ347" s="51"/>
      <c r="BK347" s="51"/>
      <c r="BL347" s="51"/>
      <c r="BM347" s="51"/>
    </row>
    <row r="348" spans="2:65" ht="15">
      <c r="M348" s="50"/>
      <c r="N348" s="50"/>
      <c r="O348" s="50"/>
      <c r="P348" s="50"/>
      <c r="Q348" s="50"/>
      <c r="R348" s="50"/>
      <c r="S348" s="50"/>
      <c r="T348" s="50"/>
      <c r="U348" s="50"/>
      <c r="V348" s="50"/>
      <c r="AC348" s="51"/>
      <c r="AD348" s="51"/>
      <c r="AE348" s="51"/>
      <c r="AF348" s="51"/>
      <c r="AG348" s="51"/>
      <c r="AH348" s="51"/>
      <c r="AI348" s="51"/>
      <c r="AJ348" s="51"/>
      <c r="AK348" s="51"/>
      <c r="AL348" s="51"/>
      <c r="AM348" s="51"/>
      <c r="AN348" s="51"/>
      <c r="AO348" s="51"/>
      <c r="AP348" s="51"/>
      <c r="AQ348" s="51"/>
      <c r="AR348" s="51"/>
      <c r="AS348" s="51"/>
      <c r="AW348" s="51"/>
      <c r="AX348" s="51"/>
      <c r="AY348" s="51"/>
      <c r="AZ348" s="51"/>
      <c r="BA348" s="51"/>
      <c r="BB348" s="51"/>
      <c r="BC348" s="51"/>
      <c r="BD348" s="51"/>
      <c r="BE348" s="51"/>
      <c r="BF348" s="51"/>
      <c r="BG348" s="51"/>
      <c r="BH348" s="51"/>
      <c r="BI348" s="51"/>
      <c r="BJ348" s="51"/>
      <c r="BK348" s="51"/>
      <c r="BL348" s="51"/>
      <c r="BM348" s="51"/>
    </row>
    <row r="349" spans="2:65" ht="15">
      <c r="M349" s="50"/>
      <c r="N349" s="50"/>
      <c r="O349" s="50"/>
      <c r="P349" s="50"/>
      <c r="Q349" s="50"/>
      <c r="R349" s="50"/>
      <c r="S349" s="50"/>
      <c r="T349" s="50"/>
      <c r="U349" s="50"/>
      <c r="V349" s="50"/>
      <c r="AC349" s="51"/>
      <c r="AD349" s="51"/>
      <c r="AE349" s="51"/>
      <c r="AF349" s="51"/>
      <c r="AG349" s="51"/>
      <c r="AH349" s="51"/>
      <c r="AI349" s="51"/>
      <c r="AJ349" s="51"/>
      <c r="AK349" s="51"/>
      <c r="AL349" s="51"/>
      <c r="AM349" s="51"/>
      <c r="AN349" s="51"/>
      <c r="AO349" s="51"/>
      <c r="AP349" s="51"/>
      <c r="AQ349" s="51"/>
      <c r="AR349" s="51"/>
      <c r="AS349" s="51"/>
      <c r="AW349" s="51"/>
      <c r="AX349" s="51"/>
      <c r="AY349" s="51"/>
      <c r="AZ349" s="51"/>
      <c r="BA349" s="51"/>
      <c r="BB349" s="51"/>
      <c r="BC349" s="51"/>
      <c r="BD349" s="51"/>
      <c r="BE349" s="51"/>
      <c r="BF349" s="51"/>
      <c r="BG349" s="51"/>
      <c r="BH349" s="51"/>
      <c r="BI349" s="51"/>
      <c r="BJ349" s="51"/>
      <c r="BK349" s="51"/>
      <c r="BL349" s="51"/>
      <c r="BM349" s="51"/>
    </row>
    <row r="350" spans="2:65" ht="15">
      <c r="M350" s="50"/>
      <c r="N350" s="50"/>
      <c r="O350" s="50"/>
      <c r="P350" s="50"/>
      <c r="Q350" s="50"/>
      <c r="R350" s="50"/>
      <c r="S350" s="50"/>
      <c r="T350" s="50"/>
      <c r="U350" s="50"/>
      <c r="V350" s="50"/>
      <c r="AC350" s="51"/>
      <c r="AD350" s="51"/>
      <c r="AE350" s="51"/>
      <c r="AF350" s="51"/>
      <c r="AG350" s="51"/>
      <c r="AH350" s="51"/>
      <c r="AI350" s="51"/>
      <c r="AJ350" s="51"/>
      <c r="AK350" s="51"/>
      <c r="AL350" s="51"/>
      <c r="AM350" s="51"/>
      <c r="AN350" s="51"/>
      <c r="AO350" s="51"/>
      <c r="AP350" s="51"/>
      <c r="AQ350" s="51"/>
      <c r="AR350" s="51"/>
      <c r="AS350" s="51"/>
      <c r="AW350" s="51"/>
      <c r="AX350" s="51"/>
      <c r="AY350" s="51"/>
      <c r="AZ350" s="51"/>
      <c r="BA350" s="51"/>
      <c r="BB350" s="51"/>
      <c r="BC350" s="51"/>
      <c r="BD350" s="51"/>
      <c r="BE350" s="51"/>
      <c r="BF350" s="51"/>
      <c r="BG350" s="51"/>
      <c r="BH350" s="51"/>
      <c r="BI350" s="51"/>
      <c r="BJ350" s="51"/>
      <c r="BK350" s="51"/>
      <c r="BL350" s="51"/>
      <c r="BM350" s="51"/>
    </row>
    <row r="351" spans="2:65" ht="15">
      <c r="M351" s="50"/>
      <c r="N351" s="50"/>
      <c r="O351" s="50"/>
      <c r="P351" s="50"/>
      <c r="Q351" s="50"/>
      <c r="R351" s="50"/>
      <c r="S351" s="50"/>
      <c r="T351" s="50"/>
      <c r="U351" s="50"/>
      <c r="V351" s="50"/>
      <c r="AC351" s="51"/>
      <c r="AD351" s="51"/>
      <c r="AE351" s="51"/>
      <c r="AF351" s="51"/>
      <c r="AG351" s="51"/>
      <c r="AH351" s="51"/>
      <c r="AI351" s="51"/>
      <c r="AJ351" s="51"/>
      <c r="AK351" s="51"/>
      <c r="AL351" s="51"/>
      <c r="AM351" s="51"/>
      <c r="AN351" s="51"/>
      <c r="AO351" s="51"/>
      <c r="AP351" s="51"/>
      <c r="AQ351" s="51"/>
      <c r="AR351" s="51"/>
      <c r="AS351" s="51"/>
      <c r="AW351" s="51"/>
      <c r="AX351" s="51"/>
      <c r="AY351" s="51"/>
      <c r="AZ351" s="51"/>
      <c r="BA351" s="51"/>
      <c r="BB351" s="51"/>
      <c r="BC351" s="51"/>
      <c r="BD351" s="51"/>
      <c r="BE351" s="51"/>
      <c r="BF351" s="51"/>
      <c r="BG351" s="51"/>
      <c r="BH351" s="51"/>
      <c r="BI351" s="51"/>
      <c r="BJ351" s="51"/>
      <c r="BK351" s="51"/>
      <c r="BL351" s="51"/>
      <c r="BM351" s="51"/>
    </row>
    <row r="352" spans="2:65" ht="15">
      <c r="M352" s="50"/>
      <c r="N352" s="50"/>
      <c r="O352" s="50"/>
      <c r="P352" s="50"/>
      <c r="Q352" s="50"/>
      <c r="R352" s="50"/>
      <c r="S352" s="50"/>
      <c r="T352" s="50"/>
      <c r="U352" s="50"/>
      <c r="V352" s="50"/>
      <c r="AC352" s="51"/>
      <c r="AD352" s="51"/>
      <c r="AE352" s="51"/>
      <c r="AF352" s="51"/>
      <c r="AG352" s="51"/>
      <c r="AH352" s="51"/>
      <c r="AI352" s="51"/>
      <c r="AJ352" s="51"/>
      <c r="AK352" s="51"/>
      <c r="AL352" s="51"/>
      <c r="AM352" s="51"/>
      <c r="AN352" s="51"/>
      <c r="AO352" s="51"/>
      <c r="AP352" s="51"/>
      <c r="AQ352" s="51"/>
      <c r="AR352" s="51"/>
      <c r="AS352" s="51"/>
      <c r="AW352" s="51"/>
      <c r="AX352" s="51"/>
      <c r="AY352" s="51"/>
      <c r="AZ352" s="51"/>
      <c r="BA352" s="51"/>
      <c r="BB352" s="51"/>
      <c r="BC352" s="51"/>
      <c r="BD352" s="51"/>
      <c r="BE352" s="51"/>
      <c r="BF352" s="51"/>
      <c r="BG352" s="51"/>
      <c r="BH352" s="51"/>
      <c r="BI352" s="51"/>
      <c r="BJ352" s="51"/>
      <c r="BK352" s="51"/>
      <c r="BL352" s="51"/>
      <c r="BM352" s="51"/>
    </row>
    <row r="353" spans="13:65" ht="15">
      <c r="M353" s="50"/>
      <c r="N353" s="50"/>
      <c r="O353" s="50"/>
      <c r="P353" s="50"/>
      <c r="Q353" s="50"/>
      <c r="R353" s="50"/>
      <c r="S353" s="50"/>
      <c r="T353" s="50"/>
      <c r="U353" s="50"/>
      <c r="V353" s="50"/>
      <c r="AC353" s="51"/>
      <c r="AD353" s="51"/>
      <c r="AE353" s="51"/>
      <c r="AF353" s="51"/>
      <c r="AG353" s="51"/>
      <c r="AH353" s="51"/>
      <c r="AI353" s="51"/>
      <c r="AJ353" s="51"/>
      <c r="AK353" s="51"/>
      <c r="AL353" s="51"/>
      <c r="AM353" s="51"/>
      <c r="AN353" s="51"/>
      <c r="AO353" s="51"/>
      <c r="AP353" s="51"/>
      <c r="AQ353" s="51"/>
      <c r="AR353" s="51"/>
      <c r="AS353" s="51"/>
      <c r="AW353" s="51"/>
      <c r="AX353" s="51"/>
      <c r="AY353" s="51"/>
      <c r="AZ353" s="51"/>
      <c r="BA353" s="51"/>
      <c r="BB353" s="51"/>
      <c r="BC353" s="51"/>
      <c r="BD353" s="51"/>
      <c r="BE353" s="51"/>
      <c r="BF353" s="51"/>
      <c r="BG353" s="51"/>
      <c r="BH353" s="51"/>
      <c r="BI353" s="51"/>
      <c r="BJ353" s="51"/>
      <c r="BK353" s="51"/>
      <c r="BL353" s="51"/>
      <c r="BM353" s="51"/>
    </row>
    <row r="354" spans="13:65" ht="15">
      <c r="M354" s="50"/>
      <c r="N354" s="50"/>
      <c r="O354" s="50"/>
      <c r="P354" s="50"/>
      <c r="Q354" s="50"/>
      <c r="R354" s="50"/>
      <c r="S354" s="50"/>
      <c r="T354" s="50"/>
      <c r="U354" s="50"/>
      <c r="V354" s="50"/>
      <c r="AC354" s="51"/>
      <c r="AD354" s="51"/>
      <c r="AE354" s="51"/>
      <c r="AF354" s="51"/>
      <c r="AG354" s="51"/>
      <c r="AH354" s="51"/>
      <c r="AI354" s="51"/>
      <c r="AJ354" s="51"/>
      <c r="AK354" s="51"/>
      <c r="AL354" s="51"/>
      <c r="AM354" s="51"/>
      <c r="AN354" s="51"/>
      <c r="AO354" s="51"/>
      <c r="AP354" s="51"/>
      <c r="AQ354" s="51"/>
      <c r="AR354" s="51"/>
      <c r="AS354" s="51"/>
      <c r="AW354" s="51"/>
      <c r="AX354" s="51"/>
      <c r="AY354" s="51"/>
      <c r="AZ354" s="51"/>
      <c r="BA354" s="51"/>
      <c r="BB354" s="51"/>
      <c r="BC354" s="51"/>
      <c r="BD354" s="51"/>
      <c r="BE354" s="51"/>
      <c r="BF354" s="51"/>
      <c r="BG354" s="51"/>
      <c r="BH354" s="51"/>
      <c r="BI354" s="51"/>
      <c r="BJ354" s="51"/>
      <c r="BK354" s="51"/>
      <c r="BL354" s="51"/>
      <c r="BM354" s="51"/>
    </row>
    <row r="355" spans="13:65" ht="15">
      <c r="M355" s="50"/>
      <c r="N355" s="50"/>
      <c r="O355" s="50"/>
      <c r="P355" s="50"/>
      <c r="Q355" s="50"/>
      <c r="R355" s="50"/>
      <c r="S355" s="50"/>
      <c r="T355" s="50"/>
      <c r="U355" s="50"/>
      <c r="V355" s="50"/>
      <c r="AC355" s="51"/>
      <c r="AD355" s="51"/>
      <c r="AE355" s="51"/>
      <c r="AF355" s="51"/>
      <c r="AG355" s="51"/>
      <c r="AH355" s="51"/>
      <c r="AI355" s="51"/>
      <c r="AJ355" s="51"/>
      <c r="AK355" s="51"/>
      <c r="AL355" s="51"/>
      <c r="AM355" s="51"/>
      <c r="AN355" s="51"/>
      <c r="AO355" s="51"/>
      <c r="AP355" s="51"/>
      <c r="AQ355" s="51"/>
      <c r="AR355" s="51"/>
      <c r="AS355" s="51"/>
      <c r="AW355" s="51"/>
      <c r="AX355" s="51"/>
      <c r="AY355" s="51"/>
      <c r="AZ355" s="51"/>
      <c r="BA355" s="51"/>
      <c r="BB355" s="51"/>
      <c r="BC355" s="51"/>
      <c r="BD355" s="51"/>
      <c r="BE355" s="51"/>
      <c r="BF355" s="51"/>
      <c r="BG355" s="51"/>
      <c r="BH355" s="51"/>
      <c r="BI355" s="51"/>
      <c r="BJ355" s="51"/>
      <c r="BK355" s="51"/>
      <c r="BL355" s="51"/>
      <c r="BM355" s="51"/>
    </row>
    <row r="356" spans="13:65" ht="15">
      <c r="M356" s="50"/>
      <c r="N356" s="50"/>
      <c r="O356" s="50"/>
      <c r="P356" s="50"/>
      <c r="Q356" s="50"/>
      <c r="R356" s="50"/>
      <c r="S356" s="50"/>
      <c r="T356" s="50"/>
      <c r="U356" s="50"/>
      <c r="V356" s="50"/>
      <c r="AC356" s="51"/>
      <c r="AD356" s="51"/>
      <c r="AE356" s="51"/>
      <c r="AF356" s="51"/>
      <c r="AG356" s="51"/>
      <c r="AH356" s="51"/>
      <c r="AI356" s="51"/>
      <c r="AJ356" s="51"/>
      <c r="AK356" s="51"/>
      <c r="AL356" s="51"/>
      <c r="AM356" s="51"/>
      <c r="AN356" s="51"/>
      <c r="AO356" s="51"/>
      <c r="AP356" s="51"/>
      <c r="AQ356" s="51"/>
      <c r="AR356" s="51"/>
      <c r="AS356" s="51"/>
      <c r="AW356" s="51"/>
      <c r="AX356" s="51"/>
      <c r="AY356" s="51"/>
      <c r="AZ356" s="51"/>
      <c r="BA356" s="51"/>
      <c r="BB356" s="51"/>
      <c r="BC356" s="51"/>
      <c r="BD356" s="51"/>
      <c r="BE356" s="51"/>
      <c r="BF356" s="51"/>
      <c r="BG356" s="51"/>
      <c r="BH356" s="51"/>
      <c r="BI356" s="51"/>
      <c r="BJ356" s="51"/>
      <c r="BK356" s="51"/>
      <c r="BL356" s="51"/>
      <c r="BM356" s="51"/>
    </row>
    <row r="357" spans="13:65" ht="15">
      <c r="M357" s="50"/>
      <c r="N357" s="50"/>
      <c r="O357" s="50"/>
      <c r="P357" s="50"/>
      <c r="Q357" s="50"/>
      <c r="R357" s="50"/>
      <c r="S357" s="50"/>
      <c r="T357" s="50"/>
      <c r="U357" s="50"/>
      <c r="V357" s="50"/>
      <c r="AC357" s="51"/>
      <c r="AD357" s="51"/>
      <c r="AE357" s="51"/>
      <c r="AF357" s="51"/>
      <c r="AG357" s="51"/>
      <c r="AH357" s="51"/>
      <c r="AI357" s="51"/>
      <c r="AJ357" s="51"/>
      <c r="AK357" s="51"/>
      <c r="AL357" s="51"/>
      <c r="AM357" s="51"/>
      <c r="AN357" s="51"/>
      <c r="AO357" s="51"/>
      <c r="AP357" s="51"/>
      <c r="AQ357" s="51"/>
      <c r="AR357" s="51"/>
      <c r="AS357" s="51"/>
      <c r="AW357" s="51"/>
      <c r="AX357" s="51"/>
      <c r="AY357" s="51"/>
      <c r="AZ357" s="51"/>
      <c r="BA357" s="51"/>
      <c r="BB357" s="51"/>
      <c r="BC357" s="51"/>
      <c r="BD357" s="51"/>
      <c r="BE357" s="51"/>
      <c r="BF357" s="51"/>
      <c r="BG357" s="51"/>
      <c r="BH357" s="51"/>
      <c r="BI357" s="51"/>
      <c r="BJ357" s="51"/>
      <c r="BK357" s="51"/>
      <c r="BL357" s="51"/>
      <c r="BM357" s="51"/>
    </row>
    <row r="358" spans="13:65" ht="15">
      <c r="M358" s="50"/>
      <c r="N358" s="50"/>
      <c r="O358" s="50"/>
      <c r="P358" s="50"/>
      <c r="Q358" s="50"/>
      <c r="R358" s="50"/>
      <c r="S358" s="50"/>
      <c r="T358" s="50"/>
      <c r="U358" s="50"/>
      <c r="V358" s="50"/>
      <c r="AC358" s="51"/>
      <c r="AD358" s="51"/>
      <c r="AE358" s="51"/>
      <c r="AF358" s="51"/>
      <c r="AG358" s="51"/>
      <c r="AH358" s="51"/>
      <c r="AI358" s="51"/>
      <c r="AJ358" s="51"/>
      <c r="AK358" s="51"/>
      <c r="AL358" s="51"/>
      <c r="AM358" s="51"/>
      <c r="AN358" s="51"/>
      <c r="AO358" s="51"/>
      <c r="AP358" s="51"/>
      <c r="AQ358" s="51"/>
      <c r="AR358" s="51"/>
      <c r="AS358" s="51"/>
      <c r="AW358" s="51"/>
      <c r="AX358" s="51"/>
      <c r="AY358" s="51"/>
      <c r="AZ358" s="51"/>
      <c r="BA358" s="51"/>
      <c r="BB358" s="51"/>
      <c r="BC358" s="51"/>
      <c r="BD358" s="51"/>
      <c r="BE358" s="51"/>
      <c r="BF358" s="51"/>
      <c r="BG358" s="51"/>
      <c r="BH358" s="51"/>
      <c r="BI358" s="51"/>
      <c r="BJ358" s="51"/>
      <c r="BK358" s="51"/>
      <c r="BL358" s="51"/>
      <c r="BM358" s="51"/>
    </row>
    <row r="359" spans="13:65" ht="15">
      <c r="M359" s="50"/>
      <c r="N359" s="50"/>
      <c r="O359" s="50"/>
      <c r="P359" s="50"/>
      <c r="Q359" s="50"/>
      <c r="R359" s="50"/>
      <c r="S359" s="50"/>
      <c r="T359" s="50"/>
      <c r="U359" s="50"/>
      <c r="V359" s="50"/>
      <c r="AC359" s="51"/>
      <c r="AD359" s="51"/>
      <c r="AE359" s="51"/>
      <c r="AF359" s="51"/>
      <c r="AG359" s="51"/>
      <c r="AH359" s="51"/>
      <c r="AI359" s="51"/>
      <c r="AJ359" s="51"/>
      <c r="AK359" s="51"/>
      <c r="AL359" s="51"/>
      <c r="AM359" s="51"/>
      <c r="AN359" s="51"/>
      <c r="AO359" s="51"/>
      <c r="AP359" s="51"/>
      <c r="AQ359" s="51"/>
      <c r="AR359" s="51"/>
      <c r="AS359" s="51"/>
      <c r="AW359" s="51"/>
      <c r="AX359" s="51"/>
      <c r="AY359" s="51"/>
      <c r="AZ359" s="51"/>
      <c r="BA359" s="51"/>
      <c r="BB359" s="51"/>
      <c r="BC359" s="51"/>
      <c r="BD359" s="51"/>
      <c r="BE359" s="51"/>
      <c r="BF359" s="51"/>
      <c r="BG359" s="51"/>
      <c r="BH359" s="51"/>
      <c r="BI359" s="51"/>
      <c r="BJ359" s="51"/>
      <c r="BK359" s="51"/>
      <c r="BL359" s="51"/>
      <c r="BM359" s="51"/>
    </row>
    <row r="360" spans="13:65" ht="15">
      <c r="M360" s="50"/>
      <c r="N360" s="50"/>
      <c r="O360" s="50"/>
      <c r="P360" s="50"/>
      <c r="Q360" s="50"/>
      <c r="R360" s="50"/>
      <c r="S360" s="50"/>
      <c r="T360" s="50"/>
      <c r="U360" s="50"/>
      <c r="V360" s="50"/>
      <c r="AC360" s="51"/>
      <c r="AD360" s="51"/>
      <c r="AE360" s="51"/>
      <c r="AF360" s="51"/>
      <c r="AG360" s="51"/>
      <c r="AH360" s="51"/>
      <c r="AI360" s="51"/>
      <c r="AJ360" s="51"/>
      <c r="AK360" s="51"/>
      <c r="AL360" s="51"/>
      <c r="AM360" s="51"/>
      <c r="AN360" s="51"/>
      <c r="AO360" s="51"/>
      <c r="AP360" s="51"/>
      <c r="AQ360" s="51"/>
      <c r="AR360" s="51"/>
      <c r="AS360" s="51"/>
      <c r="AW360" s="51"/>
      <c r="AX360" s="51"/>
      <c r="AY360" s="51"/>
      <c r="AZ360" s="51"/>
      <c r="BA360" s="51"/>
      <c r="BB360" s="51"/>
      <c r="BC360" s="51"/>
      <c r="BD360" s="51"/>
      <c r="BE360" s="51"/>
      <c r="BF360" s="51"/>
      <c r="BG360" s="51"/>
      <c r="BH360" s="51"/>
      <c r="BI360" s="51"/>
      <c r="BJ360" s="51"/>
      <c r="BK360" s="51"/>
      <c r="BL360" s="51"/>
      <c r="BM360" s="51"/>
    </row>
    <row r="361" spans="13:65" ht="15">
      <c r="M361" s="50"/>
      <c r="N361" s="50"/>
      <c r="O361" s="50"/>
      <c r="P361" s="50"/>
      <c r="Q361" s="50"/>
      <c r="R361" s="50"/>
      <c r="S361" s="50"/>
      <c r="T361" s="50"/>
      <c r="U361" s="50"/>
      <c r="V361" s="50"/>
      <c r="AC361" s="51"/>
      <c r="AD361" s="51"/>
      <c r="AE361" s="51"/>
      <c r="AF361" s="51"/>
      <c r="AG361" s="51"/>
      <c r="AH361" s="51"/>
      <c r="AI361" s="51"/>
      <c r="AJ361" s="51"/>
      <c r="AK361" s="51"/>
      <c r="AL361" s="51"/>
      <c r="AM361" s="51"/>
      <c r="AN361" s="51"/>
      <c r="AO361" s="51"/>
      <c r="AP361" s="51"/>
      <c r="AQ361" s="51"/>
      <c r="AR361" s="51"/>
      <c r="AS361" s="51"/>
      <c r="AW361" s="51"/>
      <c r="AX361" s="51"/>
      <c r="AY361" s="51"/>
      <c r="AZ361" s="51"/>
      <c r="BA361" s="51"/>
      <c r="BB361" s="51"/>
      <c r="BC361" s="51"/>
      <c r="BD361" s="51"/>
      <c r="BE361" s="51"/>
      <c r="BF361" s="51"/>
      <c r="BG361" s="51"/>
      <c r="BH361" s="51"/>
      <c r="BI361" s="51"/>
      <c r="BJ361" s="51"/>
      <c r="BK361" s="51"/>
      <c r="BL361" s="51"/>
      <c r="BM361" s="51"/>
    </row>
    <row r="362" spans="13:65" ht="15">
      <c r="M362" s="50"/>
      <c r="N362" s="50"/>
      <c r="O362" s="50"/>
      <c r="P362" s="50"/>
      <c r="Q362" s="50"/>
      <c r="R362" s="50"/>
      <c r="S362" s="50"/>
      <c r="T362" s="50"/>
      <c r="U362" s="50"/>
      <c r="V362" s="50"/>
      <c r="AC362" s="51"/>
      <c r="AD362" s="51"/>
      <c r="AE362" s="51"/>
      <c r="AF362" s="51"/>
      <c r="AG362" s="51"/>
      <c r="AH362" s="51"/>
      <c r="AI362" s="51"/>
      <c r="AJ362" s="51"/>
      <c r="AK362" s="51"/>
      <c r="AL362" s="51"/>
      <c r="AM362" s="51"/>
      <c r="AN362" s="51"/>
      <c r="AO362" s="51"/>
      <c r="AP362" s="51"/>
      <c r="AQ362" s="51"/>
      <c r="AR362" s="51"/>
      <c r="AS362" s="51"/>
      <c r="AW362" s="51"/>
      <c r="AX362" s="51"/>
      <c r="AY362" s="51"/>
      <c r="AZ362" s="51"/>
      <c r="BA362" s="51"/>
      <c r="BB362" s="51"/>
      <c r="BC362" s="51"/>
      <c r="BD362" s="51"/>
      <c r="BE362" s="51"/>
      <c r="BF362" s="51"/>
      <c r="BG362" s="51"/>
      <c r="BH362" s="51"/>
      <c r="BI362" s="51"/>
      <c r="BJ362" s="51"/>
      <c r="BK362" s="51"/>
      <c r="BL362" s="51"/>
      <c r="BM362" s="51"/>
    </row>
    <row r="363" spans="13:65" ht="15">
      <c r="M363" s="50"/>
      <c r="N363" s="50"/>
      <c r="O363" s="50"/>
      <c r="P363" s="50"/>
      <c r="Q363" s="50"/>
      <c r="R363" s="50"/>
      <c r="S363" s="50"/>
      <c r="T363" s="50"/>
      <c r="U363" s="50"/>
      <c r="V363" s="50"/>
      <c r="AC363" s="51"/>
      <c r="AD363" s="51"/>
      <c r="AE363" s="51"/>
      <c r="AF363" s="51"/>
      <c r="AG363" s="51"/>
      <c r="AH363" s="51"/>
      <c r="AI363" s="51"/>
      <c r="AJ363" s="51"/>
      <c r="AK363" s="51"/>
      <c r="AL363" s="51"/>
      <c r="AM363" s="51"/>
      <c r="AN363" s="51"/>
      <c r="AO363" s="51"/>
      <c r="AP363" s="51"/>
      <c r="AQ363" s="51"/>
      <c r="AR363" s="51"/>
      <c r="AS363" s="51"/>
      <c r="AW363" s="51"/>
      <c r="AX363" s="51"/>
      <c r="AY363" s="51"/>
      <c r="AZ363" s="51"/>
      <c r="BA363" s="51"/>
      <c r="BB363" s="51"/>
      <c r="BC363" s="51"/>
      <c r="BD363" s="51"/>
      <c r="BE363" s="51"/>
      <c r="BF363" s="51"/>
      <c r="BG363" s="51"/>
      <c r="BH363" s="51"/>
      <c r="BI363" s="51"/>
      <c r="BJ363" s="51"/>
      <c r="BK363" s="51"/>
      <c r="BL363" s="51"/>
      <c r="BM363" s="51"/>
    </row>
    <row r="364" spans="13:65" ht="15">
      <c r="M364" s="50"/>
      <c r="N364" s="50"/>
      <c r="O364" s="50"/>
      <c r="P364" s="50"/>
      <c r="Q364" s="50"/>
      <c r="R364" s="50"/>
      <c r="S364" s="50"/>
      <c r="T364" s="50"/>
      <c r="U364" s="50"/>
      <c r="V364" s="50"/>
      <c r="AC364" s="51"/>
      <c r="AD364" s="51"/>
      <c r="AE364" s="51"/>
      <c r="AF364" s="51"/>
      <c r="AG364" s="51"/>
      <c r="AH364" s="51"/>
      <c r="AI364" s="51"/>
      <c r="AJ364" s="51"/>
      <c r="AK364" s="51"/>
      <c r="AL364" s="51"/>
      <c r="AM364" s="51"/>
      <c r="AN364" s="51"/>
      <c r="AO364" s="51"/>
      <c r="AP364" s="51"/>
      <c r="AQ364" s="51"/>
      <c r="AR364" s="51"/>
      <c r="AS364" s="51"/>
      <c r="AW364" s="51"/>
      <c r="AX364" s="51"/>
      <c r="AY364" s="51"/>
      <c r="AZ364" s="51"/>
      <c r="BA364" s="51"/>
      <c r="BB364" s="51"/>
      <c r="BC364" s="51"/>
      <c r="BD364" s="51"/>
      <c r="BE364" s="51"/>
      <c r="BF364" s="51"/>
      <c r="BG364" s="51"/>
      <c r="BH364" s="51"/>
      <c r="BI364" s="51"/>
      <c r="BJ364" s="51"/>
      <c r="BK364" s="51"/>
      <c r="BL364" s="51"/>
      <c r="BM364" s="51"/>
    </row>
    <row r="365" spans="13:65" ht="15">
      <c r="M365" s="50"/>
      <c r="N365" s="50"/>
      <c r="O365" s="50"/>
      <c r="P365" s="50"/>
      <c r="Q365" s="50"/>
      <c r="R365" s="50"/>
      <c r="S365" s="50"/>
      <c r="T365" s="50"/>
      <c r="U365" s="50"/>
      <c r="V365" s="50"/>
      <c r="AC365" s="51"/>
      <c r="AD365" s="51"/>
      <c r="AE365" s="51"/>
      <c r="AF365" s="51"/>
      <c r="AG365" s="51"/>
      <c r="AH365" s="51"/>
      <c r="AI365" s="51"/>
      <c r="AJ365" s="51"/>
      <c r="AK365" s="51"/>
      <c r="AL365" s="51"/>
      <c r="AM365" s="51"/>
      <c r="AN365" s="51"/>
      <c r="AO365" s="51"/>
      <c r="AP365" s="51"/>
      <c r="AQ365" s="51"/>
      <c r="AR365" s="51"/>
      <c r="AS365" s="51"/>
      <c r="AW365" s="51"/>
      <c r="AX365" s="51"/>
      <c r="AY365" s="51"/>
      <c r="AZ365" s="51"/>
      <c r="BA365" s="51"/>
      <c r="BB365" s="51"/>
      <c r="BC365" s="51"/>
      <c r="BD365" s="51"/>
      <c r="BE365" s="51"/>
      <c r="BF365" s="51"/>
      <c r="BG365" s="51"/>
      <c r="BH365" s="51"/>
      <c r="BI365" s="51"/>
      <c r="BJ365" s="51"/>
      <c r="BK365" s="51"/>
      <c r="BL365" s="51"/>
      <c r="BM365" s="51"/>
    </row>
    <row r="366" spans="13:65" ht="61.5" customHeight="1">
      <c r="AC366" s="51"/>
      <c r="AD366" s="51"/>
      <c r="AE366" s="51"/>
      <c r="AF366" s="51"/>
      <c r="AG366" s="51"/>
      <c r="AH366" s="51"/>
      <c r="AI366" s="51"/>
      <c r="AJ366" s="51"/>
      <c r="AK366" s="51"/>
      <c r="AL366" s="51"/>
      <c r="AM366" s="51"/>
      <c r="AN366" s="51"/>
      <c r="AO366" s="51"/>
      <c r="AP366" s="51"/>
      <c r="AQ366" s="51"/>
      <c r="AR366" s="51"/>
      <c r="AS366" s="51"/>
      <c r="AW366" s="51"/>
      <c r="AX366" s="51"/>
      <c r="AY366" s="51"/>
      <c r="AZ366" s="51"/>
      <c r="BA366" s="51"/>
      <c r="BB366" s="51"/>
      <c r="BC366" s="51"/>
      <c r="BD366" s="51"/>
      <c r="BE366" s="51"/>
      <c r="BF366" s="51"/>
      <c r="BG366" s="51"/>
      <c r="BH366" s="51"/>
      <c r="BI366" s="51"/>
      <c r="BJ366" s="51"/>
      <c r="BK366" s="51"/>
      <c r="BL366" s="51"/>
      <c r="BM366" s="51"/>
    </row>
  </sheetData>
  <sheetProtection algorithmName="SHA-512" hashValue="j35kjTEU5H47QpEM9Lq/gfOZMgrz0wdXz6B7rRmejlToheZUhFGXpDWg8/lyknU/XpZuUR3ZKXYNfXB8UkjZhg==" saltValue="BdUey2fjxTdsDzqUKzJIfw==" spinCount="100000" sheet="1" objects="1" scenarios="1" selectLockedCells="1"/>
  <mergeCells count="69">
    <mergeCell ref="O189:W194"/>
    <mergeCell ref="B73:L76"/>
    <mergeCell ref="B57:C57"/>
    <mergeCell ref="G63:G65"/>
    <mergeCell ref="G66:G68"/>
    <mergeCell ref="G60:K60"/>
    <mergeCell ref="E98:F98"/>
    <mergeCell ref="K177:L177"/>
    <mergeCell ref="K110:L110"/>
    <mergeCell ref="B143:L143"/>
    <mergeCell ref="G58:K58"/>
    <mergeCell ref="G69:K69"/>
    <mergeCell ref="G70:K70"/>
    <mergeCell ref="D306:E306"/>
    <mergeCell ref="D310:E310"/>
    <mergeCell ref="D331:E331"/>
    <mergeCell ref="K276:L276"/>
    <mergeCell ref="B302:G302"/>
    <mergeCell ref="C281:E281"/>
    <mergeCell ref="C298:E298"/>
    <mergeCell ref="C299:E299"/>
    <mergeCell ref="C300:E300"/>
    <mergeCell ref="C301:E301"/>
    <mergeCell ref="C293:E293"/>
    <mergeCell ref="C295:E295"/>
    <mergeCell ref="C296:E296"/>
    <mergeCell ref="B294:G294"/>
    <mergeCell ref="B297:G297"/>
    <mergeCell ref="C287:E287"/>
    <mergeCell ref="C288:E288"/>
    <mergeCell ref="C289:E289"/>
    <mergeCell ref="C290:E290"/>
    <mergeCell ref="C292:E292"/>
    <mergeCell ref="C291:E291"/>
    <mergeCell ref="G279:G280"/>
    <mergeCell ref="C2:I2"/>
    <mergeCell ref="C3:I3"/>
    <mergeCell ref="C4:I4"/>
    <mergeCell ref="B6:L6"/>
    <mergeCell ref="K7:L7"/>
    <mergeCell ref="E5:I5"/>
    <mergeCell ref="E84:F84"/>
    <mergeCell ref="I32:K33"/>
    <mergeCell ref="B71:L71"/>
    <mergeCell ref="C279:E280"/>
    <mergeCell ref="B278:G278"/>
    <mergeCell ref="I38:K41"/>
    <mergeCell ref="K78:L78"/>
    <mergeCell ref="E222:F222"/>
    <mergeCell ref="E36:G41"/>
    <mergeCell ref="B282:G282"/>
    <mergeCell ref="E283:G283"/>
    <mergeCell ref="C284:E284"/>
    <mergeCell ref="C285:E285"/>
    <mergeCell ref="C286:E286"/>
    <mergeCell ref="B283:C283"/>
    <mergeCell ref="B311:G311"/>
    <mergeCell ref="B328:G328"/>
    <mergeCell ref="B332:G332"/>
    <mergeCell ref="B336:G336"/>
    <mergeCell ref="B342:L342"/>
    <mergeCell ref="B341:C341"/>
    <mergeCell ref="E236:F236"/>
    <mergeCell ref="B207:L207"/>
    <mergeCell ref="B50:L50"/>
    <mergeCell ref="B65:E67"/>
    <mergeCell ref="B63:C63"/>
    <mergeCell ref="G94:H94"/>
    <mergeCell ref="G52:K52"/>
  </mergeCells>
  <phoneticPr fontId="59" type="noConversion"/>
  <conditionalFormatting sqref="I132:I134 B121:H121 D123:H123 B122:D122 E135:E137 D127:H127 B152:H152 D157:H157 D161:H161 B156:E156 B154:H155 C153:H153 B134:B142 E139:E142 E122:E126 D134:H134 D138:H138 E157:E165 B132:H132 E128:E131 B123:B131 B133:E133 B156:B165">
    <cfRule type="expression" dxfId="20" priority="60">
      <formula>#REF!="UPLIFT!"</formula>
    </cfRule>
  </conditionalFormatting>
  <conditionalFormatting sqref="E169:E171">
    <cfRule type="expression" dxfId="19" priority="33">
      <formula>#REF!="UPLIFT!"</formula>
    </cfRule>
  </conditionalFormatting>
  <conditionalFormatting sqref="D168 B169:B170 D172 C167:D167 B172:B174 H166 F168:H168 F172:H172 E197:E199 E173:E176">
    <cfRule type="expression" dxfId="18" priority="38">
      <formula>#REF!="UPLIFT!"</formula>
    </cfRule>
  </conditionalFormatting>
  <conditionalFormatting sqref="B171 B176">
    <cfRule type="expression" dxfId="17" priority="36">
      <formula>#REF!="UPLIFT!"</formula>
    </cfRule>
  </conditionalFormatting>
  <conditionalFormatting sqref="B175">
    <cfRule type="expression" dxfId="16" priority="35">
      <formula>#REF!="UPLIFT!"</formula>
    </cfRule>
  </conditionalFormatting>
  <conditionalFormatting sqref="D196 D200 C195:D195 E201:E203 B194:H194 B197:B199 F196:H196 F200:H200 B202:B203">
    <cfRule type="expression" dxfId="15" priority="32">
      <formula>#REF!="UPLIFT!"</formula>
    </cfRule>
  </conditionalFormatting>
  <conditionalFormatting sqref="E167">
    <cfRule type="expression" dxfId="14" priority="19">
      <formula>#REF!="UPLIFT!"</formula>
    </cfRule>
  </conditionalFormatting>
  <conditionalFormatting sqref="E168">
    <cfRule type="expression" dxfId="13" priority="18">
      <formula>#REF!="UPLIFT!"</formula>
    </cfRule>
  </conditionalFormatting>
  <conditionalFormatting sqref="E172">
    <cfRule type="expression" dxfId="12" priority="17">
      <formula>#REF!="UPLIFT!"</formula>
    </cfRule>
  </conditionalFormatting>
  <conditionalFormatting sqref="E195">
    <cfRule type="expression" dxfId="11" priority="16">
      <formula>#REF!="UPLIFT!"</formula>
    </cfRule>
  </conditionalFormatting>
  <conditionalFormatting sqref="E196">
    <cfRule type="expression" dxfId="10" priority="15">
      <formula>#REF!="UPLIFT!"</formula>
    </cfRule>
  </conditionalFormatting>
  <conditionalFormatting sqref="E200">
    <cfRule type="expression" dxfId="9" priority="14">
      <formula>#REF!="UPLIFT!"</formula>
    </cfRule>
  </conditionalFormatting>
  <conditionalFormatting sqref="B204:B205">
    <cfRule type="expression" dxfId="8" priority="10">
      <formula>#REF!="UPLIFT!"</formula>
    </cfRule>
  </conditionalFormatting>
  <conditionalFormatting sqref="E204:E205">
    <cfRule type="expression" dxfId="7" priority="9">
      <formula>#REF!="UPLIFT!"</formula>
    </cfRule>
  </conditionalFormatting>
  <conditionalFormatting sqref="B201">
    <cfRule type="expression" dxfId="6" priority="7">
      <formula>#REF!="UPLIFT!"</formula>
    </cfRule>
  </conditionalFormatting>
  <conditionalFormatting sqref="B166:G166">
    <cfRule type="expression" dxfId="5" priority="6">
      <formula>#REF!="UPLIFT!"</formula>
    </cfRule>
  </conditionalFormatting>
  <conditionalFormatting sqref="B168">
    <cfRule type="expression" dxfId="4" priority="5">
      <formula>#REF!="UPLIFT!"</formula>
    </cfRule>
  </conditionalFormatting>
  <conditionalFormatting sqref="B196">
    <cfRule type="expression" dxfId="3" priority="4">
      <formula>#REF!="UPLIFT!"</formula>
    </cfRule>
  </conditionalFormatting>
  <conditionalFormatting sqref="B200">
    <cfRule type="expression" dxfId="2" priority="3">
      <formula>#REF!="UPLIFT!"</formula>
    </cfRule>
  </conditionalFormatting>
  <conditionalFormatting sqref="B167">
    <cfRule type="expression" dxfId="1" priority="2">
      <formula>#REF!="UPLIFT!"</formula>
    </cfRule>
  </conditionalFormatting>
  <conditionalFormatting sqref="B195">
    <cfRule type="expression" dxfId="0" priority="1">
      <formula>#REF!="UPLIFT!"</formula>
    </cfRule>
  </conditionalFormatting>
  <pageMargins left="0.23622047244094491" right="0.23622047244094491" top="0.74803149606299213" bottom="0.74803149606299213" header="0.31496062992125984" footer="0.31496062992125984"/>
  <pageSetup paperSize="9" scale="41" fitToHeight="0" orientation="portrait" cellComments="asDisplayed" r:id="rId1"/>
  <rowBreaks count="3" manualBreakCount="3">
    <brk id="109" max="16383" man="1"/>
    <brk id="176" max="16383" man="1"/>
    <brk id="274" min="1" max="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A5C30-AF45-46F7-861C-B9CCA4EFAB40}">
  <dimension ref="A3:Q6"/>
  <sheetViews>
    <sheetView workbookViewId="0">
      <selection activeCell="C12" sqref="C12"/>
    </sheetView>
  </sheetViews>
  <sheetFormatPr baseColWidth="10" defaultRowHeight="12.75"/>
  <sheetData>
    <row r="3" spans="1:17" ht="13.5" thickBot="1">
      <c r="A3" s="307" t="s">
        <v>354</v>
      </c>
      <c r="B3" s="427" t="s">
        <v>359</v>
      </c>
      <c r="C3" s="427"/>
      <c r="D3" s="427"/>
      <c r="E3" s="427"/>
      <c r="F3" s="427"/>
      <c r="G3" s="427"/>
      <c r="H3" s="427"/>
      <c r="I3" s="427"/>
      <c r="J3" s="427"/>
      <c r="K3" s="427"/>
      <c r="L3" s="427"/>
      <c r="M3" s="427"/>
      <c r="N3" s="427"/>
      <c r="O3" s="427"/>
      <c r="P3" s="427"/>
      <c r="Q3" s="427"/>
    </row>
    <row r="4" spans="1:17">
      <c r="A4" s="308" t="s">
        <v>355</v>
      </c>
      <c r="B4" s="306" t="s">
        <v>356</v>
      </c>
    </row>
    <row r="5" spans="1:17">
      <c r="A5" s="308" t="s">
        <v>358</v>
      </c>
      <c r="B5" s="306" t="s">
        <v>357</v>
      </c>
    </row>
    <row r="6" spans="1:17">
      <c r="A6" s="308" t="s">
        <v>371</v>
      </c>
      <c r="B6" t="s">
        <v>372</v>
      </c>
    </row>
  </sheetData>
  <mergeCells count="1">
    <mergeCell ref="B3:Q3"/>
  </mergeCells>
  <phoneticPr fontId="5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C859F-9160-46C8-B760-15C15175489F}">
  <dimension ref="L3:AB147"/>
  <sheetViews>
    <sheetView workbookViewId="0">
      <selection activeCell="G51" sqref="G51"/>
    </sheetView>
  </sheetViews>
  <sheetFormatPr baseColWidth="10" defaultColWidth="9.140625" defaultRowHeight="12.75"/>
  <cols>
    <col min="12" max="28" width="9.140625" style="51"/>
  </cols>
  <sheetData>
    <row r="3" spans="14:14">
      <c r="N3" s="56"/>
    </row>
    <row r="63" spans="12:26">
      <c r="L63" s="51" t="s">
        <v>45</v>
      </c>
      <c r="N63" s="56"/>
      <c r="O63" s="51" t="s">
        <v>46</v>
      </c>
      <c r="R63" s="51" t="s">
        <v>47</v>
      </c>
      <c r="W63" s="51" t="s">
        <v>45</v>
      </c>
      <c r="Y63" s="56"/>
      <c r="Z63" s="51" t="s">
        <v>46</v>
      </c>
    </row>
    <row r="64" spans="12:26">
      <c r="L64" s="51" t="s">
        <v>43</v>
      </c>
      <c r="M64" s="51" t="s">
        <v>44</v>
      </c>
      <c r="N64" s="56"/>
      <c r="R64" s="56" t="s">
        <v>43</v>
      </c>
      <c r="S64" s="56" t="s">
        <v>44</v>
      </c>
      <c r="W64" s="51" t="s">
        <v>43</v>
      </c>
      <c r="X64" s="51" t="s">
        <v>44</v>
      </c>
      <c r="Y64" s="56"/>
    </row>
    <row r="65" spans="12:27">
      <c r="L65" s="51">
        <v>0</v>
      </c>
      <c r="M65" s="38">
        <v>0</v>
      </c>
      <c r="N65" s="56"/>
      <c r="O65" s="51">
        <v>-150</v>
      </c>
      <c r="P65" s="79">
        <v>-60</v>
      </c>
      <c r="R65" s="51">
        <f>-200+L86/2</f>
        <v>1550</v>
      </c>
      <c r="S65" s="51">
        <f>M87/2</f>
        <v>-906.5</v>
      </c>
      <c r="W65" s="51">
        <v>0</v>
      </c>
      <c r="X65" s="38">
        <v>0</v>
      </c>
      <c r="Y65" s="56"/>
      <c r="Z65" s="51">
        <v>-150</v>
      </c>
      <c r="AA65" s="79">
        <v>100</v>
      </c>
    </row>
    <row r="66" spans="12:27">
      <c r="L66" s="51">
        <v>350</v>
      </c>
      <c r="M66" s="51">
        <v>0</v>
      </c>
      <c r="N66" s="56"/>
      <c r="O66" s="51">
        <v>-150</v>
      </c>
      <c r="P66" s="79">
        <v>-120</v>
      </c>
      <c r="R66" s="51">
        <f>200+L86/2</f>
        <v>1950</v>
      </c>
      <c r="S66" s="51">
        <f>M88/2</f>
        <v>-906.5</v>
      </c>
      <c r="W66" s="51">
        <v>350</v>
      </c>
      <c r="X66" s="51">
        <v>0</v>
      </c>
      <c r="Y66" s="56"/>
      <c r="Z66" s="51">
        <v>-150</v>
      </c>
      <c r="AA66" s="79">
        <v>200</v>
      </c>
    </row>
    <row r="67" spans="12:27">
      <c r="L67" s="51">
        <v>350</v>
      </c>
      <c r="M67" s="51">
        <f t="shared" ref="M67:M86" si="0">M65-163</f>
        <v>-163</v>
      </c>
      <c r="N67" s="56"/>
      <c r="O67" s="51">
        <v>150</v>
      </c>
      <c r="P67" s="56">
        <v>-120</v>
      </c>
      <c r="W67" s="51">
        <f t="shared" ref="W67:W75" si="1">W66+300</f>
        <v>650</v>
      </c>
      <c r="X67" s="51">
        <v>0</v>
      </c>
      <c r="Y67" s="56"/>
      <c r="Z67" s="51">
        <v>150</v>
      </c>
      <c r="AA67" s="56">
        <v>200</v>
      </c>
    </row>
    <row r="68" spans="12:27">
      <c r="L68" s="51">
        <f t="shared" ref="L68:L85" si="2">L66+300</f>
        <v>650</v>
      </c>
      <c r="M68" s="51">
        <f t="shared" si="0"/>
        <v>-163</v>
      </c>
      <c r="N68" s="56"/>
      <c r="O68" s="51">
        <v>150</v>
      </c>
      <c r="P68" s="56">
        <v>-60</v>
      </c>
      <c r="W68" s="51">
        <f t="shared" si="1"/>
        <v>950</v>
      </c>
      <c r="X68" s="51">
        <v>0</v>
      </c>
      <c r="Y68" s="56"/>
      <c r="Z68" s="51">
        <v>150</v>
      </c>
      <c r="AA68" s="56">
        <v>100</v>
      </c>
    </row>
    <row r="69" spans="12:27">
      <c r="L69" s="51">
        <f t="shared" si="2"/>
        <v>650</v>
      </c>
      <c r="M69" s="51">
        <f t="shared" si="0"/>
        <v>-326</v>
      </c>
      <c r="N69" s="56"/>
      <c r="O69" s="51">
        <v>-150</v>
      </c>
      <c r="P69" s="56">
        <v>-60</v>
      </c>
      <c r="R69" s="51">
        <f>-200+L86/2</f>
        <v>1550</v>
      </c>
      <c r="S69" s="51">
        <f>(M93+M94)/2</f>
        <v>-3200</v>
      </c>
      <c r="W69" s="51">
        <f t="shared" si="1"/>
        <v>1250</v>
      </c>
      <c r="X69" s="51">
        <v>0</v>
      </c>
      <c r="Y69" s="56"/>
      <c r="Z69" s="51">
        <v>-150</v>
      </c>
      <c r="AA69" s="56">
        <v>100</v>
      </c>
    </row>
    <row r="70" spans="12:27">
      <c r="L70" s="51">
        <f t="shared" si="2"/>
        <v>950</v>
      </c>
      <c r="M70" s="51">
        <f t="shared" si="0"/>
        <v>-326</v>
      </c>
      <c r="N70" s="56"/>
      <c r="P70" s="56"/>
      <c r="R70" s="51">
        <f>200+L86/2</f>
        <v>1950</v>
      </c>
      <c r="S70" s="51">
        <f>(M93+M94)/2</f>
        <v>-3200</v>
      </c>
      <c r="W70" s="51">
        <f t="shared" si="1"/>
        <v>1550</v>
      </c>
      <c r="X70" s="51">
        <v>0</v>
      </c>
      <c r="Y70" s="56"/>
      <c r="AA70" s="56"/>
    </row>
    <row r="71" spans="12:27">
      <c r="L71" s="51">
        <f t="shared" si="2"/>
        <v>950</v>
      </c>
      <c r="M71" s="51">
        <f t="shared" si="0"/>
        <v>-489</v>
      </c>
      <c r="N71" s="56"/>
      <c r="P71" s="79"/>
      <c r="W71" s="51">
        <f t="shared" si="1"/>
        <v>1850</v>
      </c>
      <c r="X71" s="51">
        <v>0</v>
      </c>
      <c r="Y71" s="56"/>
      <c r="Z71" s="51">
        <v>-150</v>
      </c>
      <c r="AA71" s="79">
        <v>1200</v>
      </c>
    </row>
    <row r="72" spans="12:27">
      <c r="L72" s="51">
        <f t="shared" si="2"/>
        <v>1250</v>
      </c>
      <c r="M72" s="51">
        <f t="shared" si="0"/>
        <v>-489</v>
      </c>
      <c r="N72" s="56"/>
      <c r="O72" s="79">
        <v>3300</v>
      </c>
      <c r="P72" s="79">
        <v>-1770</v>
      </c>
      <c r="W72" s="51">
        <f t="shared" si="1"/>
        <v>2150</v>
      </c>
      <c r="X72" s="51">
        <v>0</v>
      </c>
      <c r="Y72" s="56"/>
      <c r="Z72" s="51">
        <v>-150</v>
      </c>
      <c r="AA72" s="79">
        <v>1300</v>
      </c>
    </row>
    <row r="73" spans="12:27">
      <c r="L73" s="51">
        <f t="shared" si="2"/>
        <v>1250</v>
      </c>
      <c r="M73" s="51">
        <f t="shared" si="0"/>
        <v>-652</v>
      </c>
      <c r="N73" s="56"/>
      <c r="O73" s="79">
        <v>3400</v>
      </c>
      <c r="P73" s="79">
        <v>-1770</v>
      </c>
      <c r="R73" s="51">
        <v>3350</v>
      </c>
      <c r="S73" s="51">
        <v>-1850</v>
      </c>
      <c r="W73" s="51">
        <f t="shared" si="1"/>
        <v>2450</v>
      </c>
      <c r="X73" s="51">
        <v>0</v>
      </c>
      <c r="Y73" s="56"/>
      <c r="Z73" s="51">
        <v>150</v>
      </c>
      <c r="AA73" s="56">
        <v>1300</v>
      </c>
    </row>
    <row r="74" spans="12:27">
      <c r="L74" s="51">
        <f t="shared" si="2"/>
        <v>1550</v>
      </c>
      <c r="M74" s="51">
        <f t="shared" si="0"/>
        <v>-652</v>
      </c>
      <c r="N74" s="56"/>
      <c r="O74" s="56">
        <v>3400</v>
      </c>
      <c r="P74" s="56">
        <v>-1830</v>
      </c>
      <c r="R74" s="51">
        <v>3350</v>
      </c>
      <c r="S74" s="51">
        <v>-2050</v>
      </c>
      <c r="W74" s="51">
        <f t="shared" si="1"/>
        <v>2750</v>
      </c>
      <c r="X74" s="51">
        <v>0</v>
      </c>
      <c r="Y74" s="56"/>
      <c r="Z74" s="51">
        <v>150</v>
      </c>
      <c r="AA74" s="56">
        <v>1200</v>
      </c>
    </row>
    <row r="75" spans="12:27">
      <c r="L75" s="51">
        <f t="shared" si="2"/>
        <v>1550</v>
      </c>
      <c r="M75" s="51">
        <f t="shared" si="0"/>
        <v>-815</v>
      </c>
      <c r="N75" s="56"/>
      <c r="O75" s="56">
        <v>3300</v>
      </c>
      <c r="P75" s="56">
        <v>-1830</v>
      </c>
      <c r="W75" s="51">
        <f t="shared" si="1"/>
        <v>3050</v>
      </c>
      <c r="X75" s="51">
        <v>0</v>
      </c>
      <c r="Y75" s="56"/>
      <c r="Z75" s="51">
        <v>-150</v>
      </c>
      <c r="AA75" s="56">
        <v>1200</v>
      </c>
    </row>
    <row r="76" spans="12:27">
      <c r="L76" s="51">
        <f t="shared" si="2"/>
        <v>1850</v>
      </c>
      <c r="M76" s="51">
        <f t="shared" si="0"/>
        <v>-815</v>
      </c>
      <c r="N76" s="56"/>
      <c r="O76" s="56">
        <v>3300</v>
      </c>
      <c r="P76" s="51">
        <v>-1770</v>
      </c>
      <c r="R76" s="51">
        <f>-200+L86/2</f>
        <v>1550</v>
      </c>
      <c r="S76" s="51">
        <f>M87/2</f>
        <v>-906.5</v>
      </c>
      <c r="W76" s="51">
        <v>3500</v>
      </c>
      <c r="X76" s="51">
        <v>0</v>
      </c>
      <c r="Y76" s="56"/>
      <c r="AA76" s="56"/>
    </row>
    <row r="77" spans="12:27">
      <c r="L77" s="51">
        <f t="shared" si="2"/>
        <v>1850</v>
      </c>
      <c r="M77" s="51">
        <f t="shared" si="0"/>
        <v>-978</v>
      </c>
      <c r="R77" s="51">
        <f>-200+L86/2</f>
        <v>1550</v>
      </c>
      <c r="S77" s="51">
        <f>S76-400</f>
        <v>-1306.5</v>
      </c>
      <c r="W77" s="51">
        <f>W76</f>
        <v>3500</v>
      </c>
      <c r="X77" s="51">
        <v>1400</v>
      </c>
    </row>
    <row r="78" spans="12:27">
      <c r="L78" s="51">
        <f t="shared" si="2"/>
        <v>2150</v>
      </c>
      <c r="M78" s="51">
        <f t="shared" si="0"/>
        <v>-978</v>
      </c>
      <c r="O78" s="79"/>
      <c r="W78" s="51">
        <f>W75</f>
        <v>3050</v>
      </c>
      <c r="X78" s="51">
        <v>1400</v>
      </c>
      <c r="Z78" s="79">
        <v>3300</v>
      </c>
      <c r="AA78" s="51">
        <v>100</v>
      </c>
    </row>
    <row r="79" spans="12:27">
      <c r="L79" s="51">
        <f t="shared" si="2"/>
        <v>2150</v>
      </c>
      <c r="M79" s="51">
        <f t="shared" si="0"/>
        <v>-1141</v>
      </c>
      <c r="O79" s="51">
        <v>-150</v>
      </c>
      <c r="P79" s="79">
        <f>AA65-3900</f>
        <v>-3800</v>
      </c>
      <c r="W79" s="51">
        <f t="shared" ref="W79:W87" si="3">W78-300</f>
        <v>2750</v>
      </c>
      <c r="X79" s="51">
        <v>1400</v>
      </c>
      <c r="Z79" s="79">
        <v>3400</v>
      </c>
      <c r="AA79" s="51">
        <v>100</v>
      </c>
    </row>
    <row r="80" spans="12:27">
      <c r="L80" s="51">
        <f t="shared" si="2"/>
        <v>2450</v>
      </c>
      <c r="M80" s="51">
        <f t="shared" si="0"/>
        <v>-1141</v>
      </c>
      <c r="O80" s="51">
        <v>-150</v>
      </c>
      <c r="P80" s="79">
        <f>AA66-3900</f>
        <v>-3700</v>
      </c>
      <c r="R80" s="51">
        <v>1550</v>
      </c>
      <c r="S80" s="51">
        <v>-3200</v>
      </c>
      <c r="W80" s="51">
        <f t="shared" si="3"/>
        <v>2450</v>
      </c>
      <c r="X80" s="51">
        <v>1400</v>
      </c>
      <c r="Z80" s="56">
        <v>3400</v>
      </c>
      <c r="AA80" s="51">
        <v>200</v>
      </c>
    </row>
    <row r="81" spans="12:27">
      <c r="L81" s="51">
        <f t="shared" si="2"/>
        <v>2450</v>
      </c>
      <c r="M81" s="51">
        <f t="shared" si="0"/>
        <v>-1304</v>
      </c>
      <c r="O81" s="51">
        <v>150</v>
      </c>
      <c r="P81" s="79">
        <f>AA67-3900</f>
        <v>-3700</v>
      </c>
      <c r="W81" s="51">
        <f t="shared" si="3"/>
        <v>2150</v>
      </c>
      <c r="X81" s="51">
        <v>1400</v>
      </c>
      <c r="Z81" s="56">
        <v>3300</v>
      </c>
      <c r="AA81" s="51">
        <v>200</v>
      </c>
    </row>
    <row r="82" spans="12:27">
      <c r="L82" s="51">
        <f t="shared" si="2"/>
        <v>2750</v>
      </c>
      <c r="M82" s="51">
        <f t="shared" si="0"/>
        <v>-1304</v>
      </c>
      <c r="N82" s="56"/>
      <c r="O82" s="51">
        <v>150</v>
      </c>
      <c r="P82" s="79">
        <f>AA68-3900</f>
        <v>-3800</v>
      </c>
      <c r="R82" s="51">
        <v>3750</v>
      </c>
      <c r="S82" s="79">
        <v>-1830</v>
      </c>
      <c r="W82" s="51">
        <f t="shared" si="3"/>
        <v>1850</v>
      </c>
      <c r="X82" s="51">
        <v>1400</v>
      </c>
      <c r="Y82" s="56"/>
      <c r="Z82" s="56">
        <v>3300</v>
      </c>
      <c r="AA82" s="51">
        <v>100</v>
      </c>
    </row>
    <row r="83" spans="12:27">
      <c r="L83" s="51">
        <f t="shared" si="2"/>
        <v>2750</v>
      </c>
      <c r="M83" s="51">
        <f t="shared" si="0"/>
        <v>-1467</v>
      </c>
      <c r="N83" s="56"/>
      <c r="O83" s="51">
        <v>-150</v>
      </c>
      <c r="P83" s="79">
        <f>AA69-3900</f>
        <v>-3800</v>
      </c>
      <c r="R83" s="51">
        <v>3750</v>
      </c>
      <c r="S83" s="79">
        <v>-2030</v>
      </c>
      <c r="W83" s="51">
        <f t="shared" si="3"/>
        <v>1550</v>
      </c>
      <c r="X83" s="51">
        <v>1400</v>
      </c>
      <c r="Y83" s="56"/>
      <c r="AA83" s="56"/>
    </row>
    <row r="84" spans="12:27">
      <c r="L84" s="51">
        <f t="shared" si="2"/>
        <v>3050</v>
      </c>
      <c r="M84" s="51">
        <f t="shared" si="0"/>
        <v>-1467</v>
      </c>
      <c r="N84" s="56"/>
      <c r="P84" s="79"/>
      <c r="S84" s="56"/>
      <c r="W84" s="51">
        <f t="shared" si="3"/>
        <v>1250</v>
      </c>
      <c r="X84" s="51">
        <v>1400</v>
      </c>
      <c r="Y84" s="56"/>
      <c r="AA84" s="56"/>
    </row>
    <row r="85" spans="12:27">
      <c r="L85" s="51">
        <f t="shared" si="2"/>
        <v>3050</v>
      </c>
      <c r="M85" s="51">
        <f t="shared" si="0"/>
        <v>-1630</v>
      </c>
      <c r="O85" s="51">
        <v>-150</v>
      </c>
      <c r="P85" s="79">
        <f>AA71-3900</f>
        <v>-2700</v>
      </c>
      <c r="R85" s="51">
        <v>4850</v>
      </c>
      <c r="S85" s="79">
        <v>-1830</v>
      </c>
      <c r="W85" s="51">
        <f t="shared" si="3"/>
        <v>950</v>
      </c>
      <c r="X85" s="51">
        <v>1400</v>
      </c>
      <c r="Z85" s="79">
        <v>3300</v>
      </c>
      <c r="AA85" s="79">
        <v>1200</v>
      </c>
    </row>
    <row r="86" spans="12:27">
      <c r="L86" s="51">
        <v>3500</v>
      </c>
      <c r="M86" s="51">
        <f t="shared" si="0"/>
        <v>-1630</v>
      </c>
      <c r="O86" s="51">
        <v>-150</v>
      </c>
      <c r="P86" s="79">
        <f>AA72-3900</f>
        <v>-2600</v>
      </c>
      <c r="R86" s="79">
        <v>4850</v>
      </c>
      <c r="S86" s="79">
        <v>-2030</v>
      </c>
      <c r="W86" s="51">
        <f t="shared" si="3"/>
        <v>650</v>
      </c>
      <c r="X86" s="51">
        <v>1400</v>
      </c>
      <c r="Z86" s="79">
        <v>3400</v>
      </c>
      <c r="AA86" s="79">
        <v>1200</v>
      </c>
    </row>
    <row r="87" spans="12:27">
      <c r="L87" s="51">
        <v>3500</v>
      </c>
      <c r="M87" s="51">
        <f>M85-163-20</f>
        <v>-1813</v>
      </c>
      <c r="O87" s="51">
        <v>150</v>
      </c>
      <c r="P87" s="79">
        <f>AA73-3900</f>
        <v>-2600</v>
      </c>
      <c r="W87" s="51">
        <f t="shared" si="3"/>
        <v>350</v>
      </c>
      <c r="X87" s="51">
        <v>1400</v>
      </c>
      <c r="Z87" s="56">
        <v>3400</v>
      </c>
      <c r="AA87" s="56">
        <v>1300</v>
      </c>
    </row>
    <row r="88" spans="12:27">
      <c r="L88" s="51">
        <v>3050</v>
      </c>
      <c r="M88" s="51">
        <f>M87</f>
        <v>-1813</v>
      </c>
      <c r="O88" s="51">
        <v>150</v>
      </c>
      <c r="P88" s="79">
        <f>AA74-3900</f>
        <v>-2700</v>
      </c>
      <c r="R88" s="51">
        <v>3750</v>
      </c>
      <c r="S88" s="79">
        <v>-120</v>
      </c>
      <c r="W88" s="51">
        <v>0</v>
      </c>
      <c r="X88" s="51">
        <v>1400</v>
      </c>
      <c r="Z88" s="56">
        <v>3300</v>
      </c>
      <c r="AA88" s="56">
        <v>1300</v>
      </c>
    </row>
    <row r="89" spans="12:27">
      <c r="L89" s="77">
        <v>50</v>
      </c>
      <c r="M89" s="77">
        <v>-180</v>
      </c>
      <c r="O89" s="51">
        <v>-150</v>
      </c>
      <c r="P89" s="79">
        <f>AA75-3900</f>
        <v>-2700</v>
      </c>
      <c r="R89" s="51">
        <v>3750</v>
      </c>
      <c r="S89" s="79">
        <v>-320</v>
      </c>
      <c r="W89" s="51">
        <v>0</v>
      </c>
      <c r="X89" s="51">
        <v>0</v>
      </c>
      <c r="Z89" s="56">
        <v>3300</v>
      </c>
      <c r="AA89" s="51">
        <v>1200</v>
      </c>
    </row>
    <row r="90" spans="12:27">
      <c r="L90" s="77">
        <v>0</v>
      </c>
      <c r="M90" s="77">
        <v>-180</v>
      </c>
      <c r="N90" s="70"/>
      <c r="P90" s="79"/>
      <c r="S90" s="56"/>
      <c r="W90" s="51">
        <v>0</v>
      </c>
      <c r="X90" s="51">
        <v>1400</v>
      </c>
    </row>
    <row r="91" spans="12:27">
      <c r="L91" s="77">
        <v>0</v>
      </c>
      <c r="M91" s="77">
        <v>0</v>
      </c>
      <c r="P91" s="79"/>
      <c r="R91" s="51">
        <v>4850</v>
      </c>
      <c r="S91" s="79">
        <v>-120</v>
      </c>
      <c r="W91" s="51">
        <v>350</v>
      </c>
      <c r="X91" s="78">
        <v>1400</v>
      </c>
    </row>
    <row r="92" spans="12:27">
      <c r="L92" s="51">
        <v>0</v>
      </c>
      <c r="M92" s="38">
        <f>X65-3900</f>
        <v>-3900</v>
      </c>
      <c r="O92" s="79">
        <v>3300</v>
      </c>
      <c r="P92" s="79">
        <f>AA78-3900</f>
        <v>-3800</v>
      </c>
      <c r="R92" s="79">
        <v>4850</v>
      </c>
      <c r="S92" s="79">
        <v>-320</v>
      </c>
      <c r="W92" s="51">
        <v>350</v>
      </c>
      <c r="X92" s="78">
        <v>0</v>
      </c>
    </row>
    <row r="93" spans="12:27">
      <c r="L93" s="51">
        <v>3500</v>
      </c>
      <c r="M93" s="38">
        <f>X76-3900</f>
        <v>-3900</v>
      </c>
      <c r="O93" s="79">
        <v>3400</v>
      </c>
      <c r="P93" s="79">
        <f>AA79-3900</f>
        <v>-3800</v>
      </c>
      <c r="W93" s="51">
        <f t="shared" ref="W93:W107" si="4">W91+300</f>
        <v>650</v>
      </c>
      <c r="X93" s="77">
        <v>0</v>
      </c>
    </row>
    <row r="94" spans="12:27">
      <c r="L94" s="51">
        <f>L93</f>
        <v>3500</v>
      </c>
      <c r="M94" s="38">
        <f>X77-3900</f>
        <v>-2500</v>
      </c>
      <c r="O94" s="56">
        <v>3400</v>
      </c>
      <c r="P94" s="79">
        <f>AA80-3900</f>
        <v>-3700</v>
      </c>
      <c r="R94" s="51">
        <v>-75</v>
      </c>
      <c r="S94" s="51">
        <v>-120</v>
      </c>
      <c r="W94" s="51">
        <f t="shared" si="4"/>
        <v>650</v>
      </c>
      <c r="X94" s="77">
        <v>1400</v>
      </c>
      <c r="AA94" s="56"/>
    </row>
    <row r="95" spans="12:27">
      <c r="L95" s="51">
        <v>0</v>
      </c>
      <c r="M95" s="38">
        <f t="shared" ref="M95:M107" si="5">X88-3900</f>
        <v>-2500</v>
      </c>
      <c r="O95" s="56">
        <v>3300</v>
      </c>
      <c r="P95" s="79">
        <f>AA81-3900</f>
        <v>-3700</v>
      </c>
      <c r="R95" s="51">
        <v>-75</v>
      </c>
      <c r="S95" s="79">
        <v>-320</v>
      </c>
      <c r="W95" s="51">
        <f t="shared" si="4"/>
        <v>950</v>
      </c>
      <c r="X95" s="77">
        <v>1400</v>
      </c>
      <c r="Y95" s="56"/>
      <c r="AA95" s="56"/>
    </row>
    <row r="96" spans="12:27">
      <c r="L96" s="51">
        <v>0</v>
      </c>
      <c r="M96" s="38">
        <f t="shared" si="5"/>
        <v>-3900</v>
      </c>
      <c r="O96" s="56">
        <v>3300</v>
      </c>
      <c r="P96" s="79">
        <f>AA82-3900</f>
        <v>-3800</v>
      </c>
      <c r="W96" s="51">
        <f t="shared" si="4"/>
        <v>950</v>
      </c>
      <c r="X96" s="77">
        <v>0</v>
      </c>
      <c r="Y96" s="56"/>
      <c r="AA96" s="56"/>
    </row>
    <row r="97" spans="12:27">
      <c r="L97" s="51">
        <v>0</v>
      </c>
      <c r="M97" s="38">
        <f t="shared" si="5"/>
        <v>-2500</v>
      </c>
      <c r="P97" s="79"/>
      <c r="R97" s="51">
        <v>-150</v>
      </c>
      <c r="S97" s="51">
        <v>-2650</v>
      </c>
      <c r="W97" s="51">
        <f t="shared" si="4"/>
        <v>1250</v>
      </c>
      <c r="X97" s="77">
        <v>0</v>
      </c>
      <c r="Y97" s="56"/>
      <c r="AA97" s="56"/>
    </row>
    <row r="98" spans="12:27">
      <c r="L98" s="51">
        <v>350</v>
      </c>
      <c r="M98" s="38">
        <f t="shared" si="5"/>
        <v>-2500</v>
      </c>
      <c r="P98" s="79"/>
      <c r="R98" s="51">
        <v>-350</v>
      </c>
      <c r="S98" s="51">
        <v>-2650</v>
      </c>
      <c r="W98" s="51">
        <f t="shared" si="4"/>
        <v>1250</v>
      </c>
      <c r="X98" s="77">
        <v>1400</v>
      </c>
      <c r="Y98" s="56"/>
      <c r="AA98" s="56"/>
    </row>
    <row r="99" spans="12:27">
      <c r="L99" s="51">
        <v>350</v>
      </c>
      <c r="M99" s="38">
        <f t="shared" si="5"/>
        <v>-3900</v>
      </c>
      <c r="O99" s="79">
        <v>3300</v>
      </c>
      <c r="P99" s="79">
        <f>AA85-3900</f>
        <v>-2700</v>
      </c>
      <c r="W99" s="51">
        <f t="shared" si="4"/>
        <v>1550</v>
      </c>
      <c r="X99" s="77">
        <v>1400</v>
      </c>
      <c r="Y99" s="56"/>
      <c r="AA99" s="56"/>
    </row>
    <row r="100" spans="12:27">
      <c r="L100" s="51">
        <f t="shared" ref="L100:L107" si="6">L98+300</f>
        <v>650</v>
      </c>
      <c r="M100" s="38">
        <f t="shared" si="5"/>
        <v>-3900</v>
      </c>
      <c r="O100" s="79">
        <v>3400</v>
      </c>
      <c r="P100" s="79">
        <f>AA86-3900</f>
        <v>-2700</v>
      </c>
      <c r="R100" s="51">
        <v>-150</v>
      </c>
      <c r="S100" s="51">
        <v>-3750</v>
      </c>
      <c r="W100" s="51">
        <f t="shared" si="4"/>
        <v>1550</v>
      </c>
      <c r="X100" s="77">
        <v>0</v>
      </c>
      <c r="Y100" s="56"/>
      <c r="AA100" s="56"/>
    </row>
    <row r="101" spans="12:27">
      <c r="L101" s="51">
        <f t="shared" si="6"/>
        <v>650</v>
      </c>
      <c r="M101" s="38">
        <f t="shared" si="5"/>
        <v>-2500</v>
      </c>
      <c r="O101" s="56">
        <v>3400</v>
      </c>
      <c r="P101" s="79">
        <f>AA87-3900</f>
        <v>-2600</v>
      </c>
      <c r="R101" s="51">
        <v>-350</v>
      </c>
      <c r="S101" s="51">
        <v>-3750</v>
      </c>
      <c r="W101" s="51">
        <f t="shared" si="4"/>
        <v>1850</v>
      </c>
      <c r="X101" s="77">
        <v>0</v>
      </c>
      <c r="Y101" s="56"/>
      <c r="AA101" s="56"/>
    </row>
    <row r="102" spans="12:27">
      <c r="L102" s="51">
        <f t="shared" si="6"/>
        <v>950</v>
      </c>
      <c r="M102" s="38">
        <f t="shared" si="5"/>
        <v>-2500</v>
      </c>
      <c r="O102" s="56">
        <v>3300</v>
      </c>
      <c r="P102" s="79">
        <f>AA88-3900</f>
        <v>-2600</v>
      </c>
      <c r="W102" s="51">
        <f t="shared" si="4"/>
        <v>1850</v>
      </c>
      <c r="X102" s="77">
        <v>1400</v>
      </c>
      <c r="Y102" s="56"/>
      <c r="AA102" s="56"/>
    </row>
    <row r="103" spans="12:27">
      <c r="L103" s="51">
        <f t="shared" si="6"/>
        <v>950</v>
      </c>
      <c r="M103" s="38">
        <f t="shared" si="5"/>
        <v>-3900</v>
      </c>
      <c r="O103" s="56">
        <v>3300</v>
      </c>
      <c r="P103" s="79">
        <f>AA89-3900</f>
        <v>-2700</v>
      </c>
      <c r="R103" s="51">
        <v>-150</v>
      </c>
      <c r="S103" s="51">
        <v>-90</v>
      </c>
      <c r="W103" s="51">
        <f t="shared" si="4"/>
        <v>2150</v>
      </c>
      <c r="X103" s="77">
        <v>1400</v>
      </c>
      <c r="Y103" s="56"/>
    </row>
    <row r="104" spans="12:27">
      <c r="L104" s="51">
        <f t="shared" si="6"/>
        <v>1250</v>
      </c>
      <c r="M104" s="38">
        <f t="shared" si="5"/>
        <v>-3900</v>
      </c>
      <c r="R104" s="51">
        <v>-350</v>
      </c>
      <c r="S104" s="51">
        <v>-90</v>
      </c>
      <c r="W104" s="51">
        <f t="shared" si="4"/>
        <v>2150</v>
      </c>
      <c r="X104" s="77">
        <v>0</v>
      </c>
    </row>
    <row r="105" spans="12:27">
      <c r="L105" s="51">
        <f t="shared" si="6"/>
        <v>1250</v>
      </c>
      <c r="M105" s="38">
        <f t="shared" si="5"/>
        <v>-2500</v>
      </c>
      <c r="W105" s="51">
        <f t="shared" si="4"/>
        <v>2450</v>
      </c>
      <c r="X105" s="77">
        <v>0</v>
      </c>
    </row>
    <row r="106" spans="12:27">
      <c r="L106" s="51">
        <f t="shared" si="6"/>
        <v>1550</v>
      </c>
      <c r="M106" s="38">
        <f t="shared" si="5"/>
        <v>-2500</v>
      </c>
      <c r="O106" s="51">
        <v>3700</v>
      </c>
      <c r="P106" s="79">
        <v>-60</v>
      </c>
      <c r="R106" s="51">
        <v>3700</v>
      </c>
      <c r="S106" s="51">
        <v>-90</v>
      </c>
      <c r="W106" s="51">
        <f t="shared" si="4"/>
        <v>2450</v>
      </c>
      <c r="X106" s="77">
        <v>1400</v>
      </c>
    </row>
    <row r="107" spans="12:27">
      <c r="L107" s="51">
        <f t="shared" si="6"/>
        <v>1550</v>
      </c>
      <c r="M107" s="38">
        <f t="shared" si="5"/>
        <v>-3900</v>
      </c>
      <c r="O107" s="51">
        <v>3700</v>
      </c>
      <c r="P107" s="79">
        <v>-120</v>
      </c>
      <c r="R107" s="51">
        <v>3500</v>
      </c>
      <c r="S107" s="51">
        <v>-90</v>
      </c>
      <c r="W107" s="51">
        <f t="shared" si="4"/>
        <v>2750</v>
      </c>
      <c r="X107" s="77">
        <v>1400</v>
      </c>
    </row>
    <row r="108" spans="12:27">
      <c r="M108" s="38"/>
      <c r="P108" s="79"/>
      <c r="X108" s="77"/>
    </row>
    <row r="109" spans="12:27">
      <c r="L109" s="51">
        <f>L106+300</f>
        <v>1850</v>
      </c>
      <c r="M109" s="38">
        <f t="shared" ref="M109:M115" si="7">X101-3900</f>
        <v>-3900</v>
      </c>
      <c r="O109" s="51">
        <v>3800</v>
      </c>
      <c r="P109" s="56">
        <v>-120</v>
      </c>
      <c r="W109" s="51">
        <f>W106+300</f>
        <v>2750</v>
      </c>
      <c r="X109" s="77">
        <v>0</v>
      </c>
    </row>
    <row r="110" spans="12:27">
      <c r="L110" s="51">
        <f>L107+300</f>
        <v>1850</v>
      </c>
      <c r="M110" s="38">
        <f t="shared" si="7"/>
        <v>-2500</v>
      </c>
      <c r="O110" s="51">
        <v>3800</v>
      </c>
      <c r="P110" s="56">
        <v>-60</v>
      </c>
      <c r="W110" s="51">
        <f>W107+300</f>
        <v>3050</v>
      </c>
      <c r="X110" s="77">
        <v>0</v>
      </c>
    </row>
    <row r="111" spans="12:27">
      <c r="L111" s="51">
        <f t="shared" ref="L111:L118" si="8">L109+300</f>
        <v>2150</v>
      </c>
      <c r="M111" s="38">
        <f t="shared" si="7"/>
        <v>-2500</v>
      </c>
      <c r="O111" s="51">
        <v>3700</v>
      </c>
      <c r="P111" s="56">
        <v>-60</v>
      </c>
      <c r="R111" s="51">
        <v>4800</v>
      </c>
      <c r="S111" s="51">
        <v>-90</v>
      </c>
      <c r="W111" s="51">
        <f>W109+300</f>
        <v>3050</v>
      </c>
      <c r="X111" s="77">
        <v>1400</v>
      </c>
    </row>
    <row r="112" spans="12:27">
      <c r="L112" s="51">
        <f t="shared" si="8"/>
        <v>2150</v>
      </c>
      <c r="M112" s="38">
        <f t="shared" si="7"/>
        <v>-3900</v>
      </c>
      <c r="P112" s="56"/>
      <c r="R112" s="51">
        <v>4600</v>
      </c>
      <c r="S112" s="51">
        <v>-90</v>
      </c>
    </row>
    <row r="113" spans="12:19">
      <c r="L113" s="51">
        <f t="shared" si="8"/>
        <v>2450</v>
      </c>
      <c r="M113" s="38">
        <f t="shared" si="7"/>
        <v>-3900</v>
      </c>
      <c r="P113" s="79"/>
    </row>
    <row r="114" spans="12:19">
      <c r="L114" s="51">
        <f t="shared" si="8"/>
        <v>2450</v>
      </c>
      <c r="M114" s="38">
        <f t="shared" si="7"/>
        <v>-2500</v>
      </c>
      <c r="O114" s="51">
        <v>4800</v>
      </c>
      <c r="P114" s="79">
        <v>-1770</v>
      </c>
      <c r="R114" s="51">
        <v>1550</v>
      </c>
      <c r="S114" s="51">
        <v>-3200</v>
      </c>
    </row>
    <row r="115" spans="12:19">
      <c r="L115" s="51">
        <f t="shared" si="8"/>
        <v>2750</v>
      </c>
      <c r="M115" s="38">
        <f t="shared" si="7"/>
        <v>-2500</v>
      </c>
      <c r="O115" s="51">
        <v>4900</v>
      </c>
      <c r="P115" s="79">
        <v>-1770</v>
      </c>
      <c r="R115" s="51">
        <v>1550</v>
      </c>
      <c r="S115" s="51">
        <v>-2800</v>
      </c>
    </row>
    <row r="116" spans="12:19">
      <c r="L116" s="51">
        <f t="shared" si="8"/>
        <v>2750</v>
      </c>
      <c r="M116" s="38">
        <f>X109-3900</f>
        <v>-3900</v>
      </c>
      <c r="O116" s="51">
        <v>4900</v>
      </c>
      <c r="P116" s="56">
        <v>-1830</v>
      </c>
    </row>
    <row r="117" spans="12:19">
      <c r="L117" s="51">
        <f t="shared" si="8"/>
        <v>3050</v>
      </c>
      <c r="M117" s="38">
        <f>X110-3900</f>
        <v>-3900</v>
      </c>
      <c r="O117" s="51">
        <v>4800</v>
      </c>
      <c r="P117" s="56">
        <v>-1830</v>
      </c>
    </row>
    <row r="118" spans="12:19">
      <c r="L118" s="51">
        <f t="shared" si="8"/>
        <v>3050</v>
      </c>
      <c r="M118" s="38">
        <f>X111-3900</f>
        <v>-2500</v>
      </c>
      <c r="O118" s="56">
        <v>4800</v>
      </c>
      <c r="P118" s="51">
        <v>-1770</v>
      </c>
    </row>
    <row r="121" spans="12:19">
      <c r="L121" s="51">
        <v>3600</v>
      </c>
      <c r="M121" s="51">
        <v>0</v>
      </c>
      <c r="O121" s="79">
        <v>4800</v>
      </c>
      <c r="P121" s="79">
        <v>-120</v>
      </c>
    </row>
    <row r="122" spans="12:19">
      <c r="L122" s="51">
        <f>L121+1400</f>
        <v>5000</v>
      </c>
      <c r="M122" s="51">
        <f>M121</f>
        <v>0</v>
      </c>
      <c r="O122" s="79">
        <v>4900</v>
      </c>
      <c r="P122" s="56">
        <v>-120</v>
      </c>
    </row>
    <row r="123" spans="12:19">
      <c r="L123" s="51">
        <f>L122</f>
        <v>5000</v>
      </c>
      <c r="M123" s="51">
        <f>M88</f>
        <v>-1813</v>
      </c>
      <c r="O123" s="56">
        <v>4900</v>
      </c>
      <c r="P123" s="56">
        <v>-60</v>
      </c>
    </row>
    <row r="124" spans="12:19">
      <c r="L124" s="51">
        <f>L121</f>
        <v>3600</v>
      </c>
      <c r="M124" s="51">
        <f>M123</f>
        <v>-1813</v>
      </c>
      <c r="O124" s="56">
        <v>4800</v>
      </c>
      <c r="P124" s="56">
        <v>-60</v>
      </c>
    </row>
    <row r="125" spans="12:19">
      <c r="L125" s="51">
        <f>L121</f>
        <v>3600</v>
      </c>
      <c r="M125" s="51">
        <f>M121</f>
        <v>0</v>
      </c>
      <c r="O125" s="56">
        <v>4800</v>
      </c>
      <c r="P125" s="56">
        <v>-120</v>
      </c>
    </row>
    <row r="126" spans="12:19">
      <c r="L126" s="51">
        <v>3600</v>
      </c>
      <c r="M126" s="51">
        <v>-163</v>
      </c>
      <c r="P126" s="79"/>
    </row>
    <row r="127" spans="12:19">
      <c r="L127" s="51">
        <v>5000</v>
      </c>
      <c r="M127" s="51">
        <v>-163</v>
      </c>
      <c r="O127" s="51">
        <v>3700</v>
      </c>
      <c r="P127" s="79">
        <v>-1770</v>
      </c>
    </row>
    <row r="128" spans="12:19">
      <c r="L128" s="51">
        <v>5000</v>
      </c>
      <c r="M128" s="51">
        <v>-326</v>
      </c>
      <c r="O128" s="51">
        <v>3800</v>
      </c>
      <c r="P128" s="79">
        <v>-1770</v>
      </c>
    </row>
    <row r="129" spans="12:16">
      <c r="L129" s="51">
        <v>3600</v>
      </c>
      <c r="M129" s="51">
        <v>-326</v>
      </c>
      <c r="O129" s="51">
        <v>3800</v>
      </c>
      <c r="P129" s="56">
        <v>-1830</v>
      </c>
    </row>
    <row r="130" spans="12:16">
      <c r="L130" s="51">
        <v>3600</v>
      </c>
      <c r="M130" s="51">
        <v>-489</v>
      </c>
      <c r="O130" s="51">
        <v>3700</v>
      </c>
      <c r="P130" s="56">
        <v>-1830</v>
      </c>
    </row>
    <row r="131" spans="12:16">
      <c r="L131" s="51">
        <v>5000</v>
      </c>
      <c r="M131" s="51">
        <v>-489</v>
      </c>
      <c r="O131" s="56">
        <v>3700</v>
      </c>
      <c r="P131" s="51">
        <v>-1770</v>
      </c>
    </row>
    <row r="132" spans="12:16">
      <c r="L132" s="51">
        <v>5000</v>
      </c>
      <c r="M132" s="51">
        <v>-652</v>
      </c>
    </row>
    <row r="133" spans="12:16">
      <c r="L133" s="51">
        <f>L130</f>
        <v>3600</v>
      </c>
      <c r="M133" s="51">
        <v>-652</v>
      </c>
    </row>
    <row r="134" spans="12:16">
      <c r="L134" s="51">
        <f>L130</f>
        <v>3600</v>
      </c>
      <c r="M134" s="51">
        <v>-815</v>
      </c>
    </row>
    <row r="135" spans="12:16">
      <c r="L135" s="51">
        <v>5000</v>
      </c>
      <c r="M135" s="51">
        <v>-815</v>
      </c>
    </row>
    <row r="136" spans="12:16">
      <c r="L136" s="51">
        <v>5000</v>
      </c>
      <c r="M136" s="51">
        <v>-978</v>
      </c>
    </row>
    <row r="137" spans="12:16">
      <c r="L137" s="51">
        <v>3600</v>
      </c>
      <c r="M137" s="51">
        <v>-978</v>
      </c>
    </row>
    <row r="138" spans="12:16">
      <c r="L138" s="51">
        <v>3600</v>
      </c>
      <c r="M138" s="51">
        <v>-1141</v>
      </c>
    </row>
    <row r="139" spans="12:16">
      <c r="L139" s="51">
        <v>5000</v>
      </c>
      <c r="M139" s="51">
        <v>-1141</v>
      </c>
    </row>
    <row r="140" spans="12:16">
      <c r="L140" s="51">
        <v>5000</v>
      </c>
      <c r="M140" s="51">
        <v>-1304</v>
      </c>
    </row>
    <row r="141" spans="12:16">
      <c r="L141" s="51">
        <f>L138</f>
        <v>3600</v>
      </c>
      <c r="M141" s="51">
        <v>-1304</v>
      </c>
    </row>
    <row r="142" spans="12:16">
      <c r="L142" s="51">
        <f>L138</f>
        <v>3600</v>
      </c>
      <c r="M142" s="51">
        <v>-1467</v>
      </c>
    </row>
    <row r="143" spans="12:16">
      <c r="L143" s="51">
        <v>5000</v>
      </c>
      <c r="M143" s="51">
        <v>-1467</v>
      </c>
    </row>
    <row r="144" spans="12:16">
      <c r="L144" s="51">
        <v>5000</v>
      </c>
      <c r="M144" s="51">
        <v>-1630</v>
      </c>
    </row>
    <row r="145" spans="12:13">
      <c r="L145" s="51">
        <v>3600</v>
      </c>
      <c r="M145" s="51">
        <v>-1630</v>
      </c>
    </row>
    <row r="146" spans="12:13">
      <c r="L146" s="51">
        <v>3600</v>
      </c>
      <c r="M146" s="51">
        <v>-1813</v>
      </c>
    </row>
    <row r="147" spans="12:13">
      <c r="L147" s="51">
        <v>5000</v>
      </c>
      <c r="M147" s="51">
        <v>-1813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vt:i4>
      </vt:variant>
      <vt:variant>
        <vt:lpstr>Navngitte områder</vt:lpstr>
      </vt:variant>
      <vt:variant>
        <vt:i4>111</vt:i4>
      </vt:variant>
    </vt:vector>
  </HeadingPairs>
  <TitlesOfParts>
    <vt:vector size="114" baseType="lpstr">
      <vt:lpstr>Main sheet</vt:lpstr>
      <vt:lpstr>Revision history</vt:lpstr>
      <vt:lpstr>Chart data</vt:lpstr>
      <vt:lpstr>A</vt:lpstr>
      <vt:lpstr>Ab</vt:lpstr>
      <vt:lpstr>ad</vt:lpstr>
      <vt:lpstr>astjerne</vt:lpstr>
      <vt:lpstr>Av.y</vt:lpstr>
      <vt:lpstr>Av.z</vt:lpstr>
      <vt:lpstr>ay</vt:lpstr>
      <vt:lpstr>B</vt:lpstr>
      <vt:lpstr>bstjerne</vt:lpstr>
      <vt:lpstr>Ce</vt:lpstr>
      <vt:lpstr>ConcreteDensity</vt:lpstr>
      <vt:lpstr>D</vt:lpstr>
      <vt:lpstr>Def</vt:lpstr>
      <vt:lpstr>DLfactorALS</vt:lpstr>
      <vt:lpstr>DLfactorULS</vt:lpstr>
      <vt:lpstr>E</vt:lpstr>
      <vt:lpstr>ecantilever</vt:lpstr>
      <vt:lpstr>F</vt:lpstr>
      <vt:lpstr>Fax</vt:lpstr>
      <vt:lpstr>Fay</vt:lpstr>
      <vt:lpstr>FFront.ALS.Flight</vt:lpstr>
      <vt:lpstr>FFront.ALS.Landing</vt:lpstr>
      <vt:lpstr>FFront.ULS.Flight</vt:lpstr>
      <vt:lpstr>FFront.ULS.Landing</vt:lpstr>
      <vt:lpstr>Fha.Front</vt:lpstr>
      <vt:lpstr>FHEd</vt:lpstr>
      <vt:lpstr>FinishesFlight</vt:lpstr>
      <vt:lpstr>FinishesLanding</vt:lpstr>
      <vt:lpstr>FRear.ALS.Flight</vt:lpstr>
      <vt:lpstr>FRear.ALS.Landing</vt:lpstr>
      <vt:lpstr>FRear.ULS.Flight</vt:lpstr>
      <vt:lpstr>FRear.ULS.Landing</vt:lpstr>
      <vt:lpstr>Fva.Front</vt:lpstr>
      <vt:lpstr>FvEd</vt:lpstr>
      <vt:lpstr>Fx</vt:lpstr>
      <vt:lpstr>FxFax</vt:lpstr>
      <vt:lpstr>FxFay</vt:lpstr>
      <vt:lpstr>FxFx</vt:lpstr>
      <vt:lpstr>FxFy</vt:lpstr>
      <vt:lpstr>Fy</vt:lpstr>
      <vt:lpstr>fy.red.y</vt:lpstr>
      <vt:lpstr>fy.red.z</vt:lpstr>
      <vt:lpstr>FyFax</vt:lpstr>
      <vt:lpstr>FyFay</vt:lpstr>
      <vt:lpstr>FyFx</vt:lpstr>
      <vt:lpstr>FyFy</vt:lpstr>
      <vt:lpstr>fyield</vt:lpstr>
      <vt:lpstr>FzFax</vt:lpstr>
      <vt:lpstr>FzFay</vt:lpstr>
      <vt:lpstr>FzFx</vt:lpstr>
      <vt:lpstr>FzFy</vt:lpstr>
      <vt:lpstr>Fzgravity</vt:lpstr>
      <vt:lpstr>G</vt:lpstr>
      <vt:lpstr>GammaM0</vt:lpstr>
      <vt:lpstr>gv</vt:lpstr>
      <vt:lpstr>H</vt:lpstr>
      <vt:lpstr>hb</vt:lpstr>
      <vt:lpstr>heff.y</vt:lpstr>
      <vt:lpstr>heff.z</vt:lpstr>
      <vt:lpstr>Htot</vt:lpstr>
      <vt:lpstr>I</vt:lpstr>
      <vt:lpstr>J</vt:lpstr>
      <vt:lpstr>jstjerne</vt:lpstr>
      <vt:lpstr>K</vt:lpstr>
      <vt:lpstr>LiveloadFlight</vt:lpstr>
      <vt:lpstr>LiveloadLanding</vt:lpstr>
      <vt:lpstr>LLfactorALS</vt:lpstr>
      <vt:lpstr>LLfactorULS</vt:lpstr>
      <vt:lpstr>MEd.y</vt:lpstr>
      <vt:lpstr>MEd.z</vt:lpstr>
      <vt:lpstr>MPl.Rd.Red.y</vt:lpstr>
      <vt:lpstr>MPl.Rd.Red.z</vt:lpstr>
      <vt:lpstr>MPl.Rd.y</vt:lpstr>
      <vt:lpstr>Mpl.Rd.z</vt:lpstr>
      <vt:lpstr>QTot.All.Inserts.Landing.ALS</vt:lpstr>
      <vt:lpstr>QTot.Flight.Deadload</vt:lpstr>
      <vt:lpstr>QTot.Flight.Liveload</vt:lpstr>
      <vt:lpstr>QTot.Flights.ALS</vt:lpstr>
      <vt:lpstr>QTot.Flights.ULS</vt:lpstr>
      <vt:lpstr>QTot.Landing.ALS</vt:lpstr>
      <vt:lpstr>QTot.Landing.Deadload</vt:lpstr>
      <vt:lpstr>QTot.Landing.Liveload</vt:lpstr>
      <vt:lpstr>QTot.Landing.ULS</vt:lpstr>
      <vt:lpstr>QTot.One.Flight.ALS</vt:lpstr>
      <vt:lpstr>QTot.One.Flight.ULS</vt:lpstr>
      <vt:lpstr>QTot.Stair</vt:lpstr>
      <vt:lpstr>R.1Horizontal</vt:lpstr>
      <vt:lpstr>R.1Vertical</vt:lpstr>
      <vt:lpstr>R.2Horizontal</vt:lpstr>
      <vt:lpstr>R.2Vertical</vt:lpstr>
      <vt:lpstr>Rmax.ALS</vt:lpstr>
      <vt:lpstr>Rmax.ULS</vt:lpstr>
      <vt:lpstr>tb</vt:lpstr>
      <vt:lpstr>TreadNo</vt:lpstr>
      <vt:lpstr>'Main sheet'!Utskriftsområde</vt:lpstr>
      <vt:lpstr>'Main sheet'!Utskriftstitler</vt:lpstr>
      <vt:lpstr>VEd.y</vt:lpstr>
      <vt:lpstr>VEd.z</vt:lpstr>
      <vt:lpstr>VEd1z.ax</vt:lpstr>
      <vt:lpstr>VEd1z.ay</vt:lpstr>
      <vt:lpstr>VEd2z.ax</vt:lpstr>
      <vt:lpstr>VEd2z.ay</vt:lpstr>
      <vt:lpstr>VEd3z.ax</vt:lpstr>
      <vt:lpstr>VEd3z.ay</vt:lpstr>
      <vt:lpstr>VEd4z.ax</vt:lpstr>
      <vt:lpstr>VEd4z.ay</vt:lpstr>
      <vt:lpstr>VPl.Rd.y</vt:lpstr>
      <vt:lpstr>VPl.Rd.z</vt:lpstr>
      <vt:lpstr>wb</vt:lpstr>
      <vt:lpstr>Wpl.y</vt:lpstr>
      <vt:lpstr>WPl.z</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Herman Maier</dc:creator>
  <cp:lastModifiedBy>47482</cp:lastModifiedBy>
  <cp:lastPrinted>2021-01-29T12:04:21Z</cp:lastPrinted>
  <dcterms:created xsi:type="dcterms:W3CDTF">2001-03-11T10:45:36Z</dcterms:created>
  <dcterms:modified xsi:type="dcterms:W3CDTF">2021-02-08T12:12:18Z</dcterms:modified>
</cp:coreProperties>
</file>